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stick\__SSGPI\__docs trippel\bedrijfsvoorheffing\simulatiemodule\NAVAP\2026\Versie Website\"/>
    </mc:Choice>
  </mc:AlternateContent>
  <xr:revisionPtr revIDLastSave="0" documentId="8_{A65EB90A-CAAF-4209-AC81-10963BFC2F76}" xr6:coauthVersionLast="47" xr6:coauthVersionMax="47" xr10:uidLastSave="{00000000-0000-0000-0000-000000000000}"/>
  <workbookProtection workbookAlgorithmName="SHA-512" workbookHashValue="Zcv3uXN4CnFyPNpr+iIWCMKNSMqrOremktLnpmY8isz+96R+Sm/1Mjv+P2JqiGN6xrsVtjwwmSl0E60fiWnIlw==" workbookSaltValue="nOws3MbeTi7WlZDmF1QXEw==" workbookSpinCount="100000" lockStructure="1"/>
  <bookViews>
    <workbookView xWindow="28680" yWindow="-120" windowWidth="29040" windowHeight="15720" xr2:uid="{FC3E1EC8-5BDD-40EA-9495-D9A0257C23B8}"/>
  </bookViews>
  <sheets>
    <sheet name="SIMUL" sheetId="6" r:id="rId1"/>
    <sheet name="SIMUL SSGPI" sheetId="3" state="hidden" r:id="rId2"/>
    <sheet name="BV" sheetId="1" state="hidden" r:id="rId3"/>
    <sheet name="Gegevenslijsten" sheetId="2" state="hidden" r:id="rId4"/>
    <sheet name="BBSZ" sheetId="4" state="hidden" r:id="rId5"/>
    <sheet name="Loonschalen" sheetId="7" state="hidden" r:id="rId6"/>
    <sheet name="Jaartoelagen" sheetId="8" state="hidden" r:id="rId7"/>
  </sheets>
  <definedNames>
    <definedName name="_xlnm.Print_Area" localSheetId="0">SIMUL!$EZ$67:$FD$120</definedName>
    <definedName name="_xlnm.Print_Area" localSheetId="1">'SIMUL SSGPI'!$A$1:$J$38</definedName>
    <definedName name="alleenst">BBSZ!$B$11</definedName>
    <definedName name="breuk">'SIMUL SSGPI'!$B$7</definedName>
    <definedName name="gehuwdink">BBSZ!$D$11</definedName>
    <definedName name="gehuwdzink">BBSZ!$C$11</definedName>
    <definedName name="index">BBSZ!$D$2</definedName>
    <definedName name="minimum">BBSZ!$G$3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FD76" i="6"/>
  <c r="FA71" i="6" l="1"/>
  <c r="M38" i="1"/>
  <c r="AK61" i="8"/>
  <c r="AD58" i="8"/>
  <c r="AD59" i="8" s="1"/>
  <c r="AD60" i="8" s="1"/>
  <c r="AD61" i="8" s="1"/>
  <c r="AD57" i="8"/>
  <c r="AD55" i="8"/>
  <c r="AD56" i="8" s="1"/>
  <c r="AB55" i="8"/>
  <c r="AE55" i="8" s="1"/>
  <c r="AD52" i="8"/>
  <c r="AD53" i="8" s="1"/>
  <c r="AC51" i="8"/>
  <c r="AC50" i="8"/>
  <c r="AC49" i="8"/>
  <c r="AC48" i="8"/>
  <c r="AE48" i="8" s="1"/>
  <c r="AE49" i="8" s="1"/>
  <c r="AE50" i="8" s="1"/>
  <c r="AE51" i="8" s="1"/>
  <c r="AE52" i="8" s="1"/>
  <c r="AE53" i="8" l="1"/>
  <c r="AD54" i="8"/>
  <c r="AE54" i="8" s="1"/>
  <c r="AD48" i="8"/>
  <c r="AD49" i="8" s="1"/>
  <c r="AD50" i="8" s="1"/>
  <c r="AB56" i="8"/>
  <c r="AE56" i="8" l="1"/>
  <c r="AB57" i="8"/>
  <c r="AB58" i="8" l="1"/>
  <c r="AE57" i="8"/>
  <c r="AB59" i="8" l="1"/>
  <c r="AE58" i="8"/>
  <c r="AB60" i="8" l="1"/>
  <c r="AE59" i="8"/>
  <c r="AB61" i="8" l="1"/>
  <c r="AE61" i="8" s="1"/>
  <c r="AE60" i="8"/>
  <c r="Y2" i="8" l="1"/>
  <c r="U8" i="8" s="1"/>
  <c r="T52" i="8"/>
  <c r="T51" i="8"/>
  <c r="T50" i="8"/>
  <c r="T49" i="8"/>
  <c r="T48" i="8"/>
  <c r="T47" i="8"/>
  <c r="T46" i="8"/>
  <c r="T45" i="8"/>
  <c r="T44" i="8"/>
  <c r="T43" i="8"/>
  <c r="T42" i="8"/>
  <c r="A40" i="8"/>
  <c r="A39" i="8"/>
  <c r="A38" i="8"/>
  <c r="A37" i="8"/>
  <c r="A36" i="8"/>
  <c r="A35" i="8"/>
  <c r="A34" i="8"/>
  <c r="A33" i="8"/>
  <c r="A32" i="8"/>
  <c r="A31" i="8"/>
  <c r="U7" i="8" l="1"/>
  <c r="AF34" i="7"/>
  <c r="AG33" i="7"/>
  <c r="AG34" i="7" s="1"/>
  <c r="AF33" i="7"/>
  <c r="AE33" i="7"/>
  <c r="AE34" i="7" s="1"/>
  <c r="AD33" i="7"/>
  <c r="AD34" i="7" s="1"/>
  <c r="AC33" i="7"/>
  <c r="AC34" i="7" s="1"/>
  <c r="B5" i="6" l="1"/>
  <c r="AC7" i="4"/>
  <c r="AC6" i="4"/>
  <c r="AB6" i="4"/>
  <c r="AB7" i="4" s="1"/>
  <c r="Z6" i="4"/>
  <c r="Z7" i="4" s="1"/>
  <c r="Y6" i="4"/>
  <c r="Y7" i="4" s="1"/>
  <c r="W6" i="4"/>
  <c r="W7" i="4" s="1"/>
  <c r="AC5" i="4"/>
  <c r="AB5" i="4"/>
  <c r="AA5" i="4"/>
  <c r="AA6" i="4" s="1"/>
  <c r="AA7" i="4" s="1"/>
  <c r="Z5" i="4"/>
  <c r="X5" i="4"/>
  <c r="X6" i="4" s="1"/>
  <c r="X7" i="4" s="1"/>
  <c r="W5" i="4"/>
  <c r="A39" i="6"/>
  <c r="A36" i="6"/>
  <c r="B42" i="1"/>
  <c r="C42" i="1" s="1"/>
  <c r="A38" i="6" l="1"/>
  <c r="FC81" i="6" l="1"/>
  <c r="Z2" i="1"/>
  <c r="EZ1" i="6" l="1"/>
  <c r="FC76" i="6" s="1"/>
  <c r="A21" i="6" l="1"/>
  <c r="C15" i="6"/>
  <c r="C16" i="6"/>
  <c r="C10" i="6"/>
  <c r="C6" i="6"/>
  <c r="C7" i="6"/>
  <c r="A35" i="6"/>
  <c r="FC100" i="6"/>
  <c r="A34" i="6"/>
  <c r="A33" i="6"/>
  <c r="FA100" i="6"/>
  <c r="FA113" i="6"/>
  <c r="FA78" i="6"/>
  <c r="FA81" i="6"/>
  <c r="FA83" i="6"/>
  <c r="FC79" i="6"/>
  <c r="A10" i="6"/>
  <c r="FA106" i="6"/>
  <c r="A11" i="6"/>
  <c r="FA84" i="6"/>
  <c r="FA68" i="6"/>
  <c r="A2" i="6"/>
  <c r="FA104" i="6"/>
  <c r="FA98" i="6"/>
  <c r="FA109" i="6"/>
  <c r="FA111" i="6"/>
  <c r="FA80" i="6"/>
  <c r="FA79" i="6"/>
  <c r="FC74" i="6"/>
  <c r="FC73" i="6"/>
  <c r="FC72" i="6"/>
  <c r="FC71" i="6"/>
  <c r="FC70" i="6"/>
  <c r="FA74" i="6"/>
  <c r="FA73" i="6"/>
  <c r="FA70" i="6"/>
  <c r="FA69" i="6" s="1"/>
  <c r="I1" i="3"/>
  <c r="A4" i="6"/>
  <c r="C26" i="6"/>
  <c r="A30" i="6"/>
  <c r="A27" i="6"/>
  <c r="A26" i="6"/>
  <c r="A25" i="6"/>
  <c r="A22" i="6"/>
  <c r="A23" i="6"/>
  <c r="A20" i="6"/>
  <c r="A19" i="6"/>
  <c r="B14" i="1"/>
  <c r="B5" i="1"/>
  <c r="E25" i="3" s="1"/>
  <c r="B6" i="1"/>
  <c r="B7" i="1"/>
  <c r="B10" i="1"/>
  <c r="B11" i="1"/>
  <c r="B2" i="1"/>
  <c r="C38" i="1" s="1"/>
  <c r="B1" i="1"/>
  <c r="K14" i="3" l="1"/>
  <c r="A14" i="3" s="1"/>
  <c r="K16" i="3"/>
  <c r="A16" i="3" s="1"/>
  <c r="K17" i="3"/>
  <c r="K15" i="3"/>
  <c r="A15" i="3" s="1"/>
  <c r="T29" i="3"/>
  <c r="F28" i="3" s="1"/>
  <c r="C10" i="4" s="1"/>
  <c r="B43" i="1"/>
  <c r="K4" i="3"/>
  <c r="C5" i="3" s="1"/>
  <c r="K34" i="3"/>
  <c r="A34" i="3" s="1"/>
  <c r="K18" i="3"/>
  <c r="A18" i="3" s="1"/>
  <c r="K36" i="3"/>
  <c r="C31" i="3" s="1"/>
  <c r="K33" i="3"/>
  <c r="A33" i="3" s="1"/>
  <c r="K31" i="3"/>
  <c r="A31" i="3" s="1"/>
  <c r="K9" i="3"/>
  <c r="A9" i="3" s="1"/>
  <c r="K6" i="3"/>
  <c r="A6" i="3" s="1"/>
  <c r="K37" i="3"/>
  <c r="A37" i="3" s="1"/>
  <c r="K32" i="3"/>
  <c r="A32" i="3" s="1"/>
  <c r="K8" i="3"/>
  <c r="A8" i="3" s="1"/>
  <c r="K24" i="3"/>
  <c r="K40" i="3"/>
  <c r="A40" i="3" s="1"/>
  <c r="K25" i="3"/>
  <c r="A25" i="3" s="1"/>
  <c r="K7" i="3"/>
  <c r="A7" i="3" s="1"/>
  <c r="T28" i="3"/>
  <c r="C9" i="4" s="1"/>
  <c r="K30" i="3"/>
  <c r="K13" i="3"/>
  <c r="K29" i="3"/>
  <c r="K23" i="3"/>
  <c r="A23" i="3" s="1"/>
  <c r="K5" i="3"/>
  <c r="A5" i="3" s="1"/>
  <c r="K20" i="3"/>
  <c r="K28" i="3"/>
  <c r="A28" i="3" s="1"/>
  <c r="K22" i="3"/>
  <c r="A22" i="3" s="1"/>
  <c r="K12" i="3"/>
  <c r="A12" i="3" s="1"/>
  <c r="K3" i="3"/>
  <c r="A3" i="3" s="1"/>
  <c r="K27" i="3"/>
  <c r="K1" i="3"/>
  <c r="A1" i="3" s="1"/>
  <c r="K21" i="3"/>
  <c r="A21" i="3" s="1"/>
  <c r="K11" i="3"/>
  <c r="A11" i="3" s="1"/>
  <c r="K2" i="3"/>
  <c r="A2" i="3" s="1"/>
  <c r="B9" i="4"/>
  <c r="K41" i="3"/>
  <c r="A41" i="3" s="1"/>
  <c r="K35" i="3"/>
  <c r="A35" i="3" s="1"/>
  <c r="K19" i="3"/>
  <c r="A19" i="3" s="1"/>
  <c r="K10" i="3"/>
  <c r="A10" i="3" s="1"/>
  <c r="T30" i="3"/>
  <c r="G28" i="3" s="1"/>
  <c r="D10" i="4" s="1"/>
  <c r="C25" i="3"/>
  <c r="A15" i="6"/>
  <c r="A16" i="6"/>
  <c r="A14" i="6"/>
  <c r="A1" i="4"/>
  <c r="B15" i="4" s="1"/>
  <c r="E7" i="6"/>
  <c r="A8" i="6"/>
  <c r="A7" i="6"/>
  <c r="A6" i="6"/>
  <c r="A5" i="6"/>
  <c r="A3" i="6"/>
  <c r="N3" i="2"/>
  <c r="G51" i="2" l="1"/>
  <c r="A51" i="2" s="1"/>
  <c r="G50" i="2"/>
  <c r="A50" i="2" s="1"/>
  <c r="O43" i="2"/>
  <c r="A43" i="2" s="1"/>
  <c r="O44" i="2"/>
  <c r="A44" i="2" s="1"/>
  <c r="O45" i="2"/>
  <c r="A45" i="2" s="1"/>
  <c r="O46" i="2"/>
  <c r="A46" i="2" s="1"/>
  <c r="O47" i="2"/>
  <c r="A47" i="2" s="1"/>
  <c r="A26" i="2"/>
  <c r="A29" i="3"/>
  <c r="D25" i="3"/>
  <c r="O12" i="2"/>
  <c r="A12" i="2" s="1"/>
  <c r="O10" i="2"/>
  <c r="A10" i="2" s="1"/>
  <c r="O13" i="2"/>
  <c r="A13" i="2" s="1"/>
  <c r="O3" i="2"/>
  <c r="A3" i="2" s="1"/>
  <c r="R35" i="2"/>
  <c r="A35" i="2" s="1"/>
  <c r="O14" i="2"/>
  <c r="A14" i="2" s="1"/>
  <c r="O4" i="2"/>
  <c r="A4" i="2" s="1"/>
  <c r="O15" i="2"/>
  <c r="A15" i="2" s="1"/>
  <c r="O5" i="2"/>
  <c r="A5" i="2" s="1"/>
  <c r="O18" i="2"/>
  <c r="A18" i="2" s="1"/>
  <c r="O16" i="2"/>
  <c r="A16" i="2" s="1"/>
  <c r="O6" i="2"/>
  <c r="A6" i="2" s="1"/>
  <c r="O17" i="2"/>
  <c r="A17" i="2" s="1"/>
  <c r="O7" i="2"/>
  <c r="A7" i="2" s="1"/>
  <c r="O2" i="2"/>
  <c r="N26" i="2"/>
  <c r="A23" i="2"/>
  <c r="N3" i="1"/>
  <c r="A27" i="2"/>
  <c r="D4" i="2"/>
  <c r="B14" i="4"/>
  <c r="D3" i="2"/>
  <c r="A22" i="2"/>
  <c r="D10" i="6" l="1"/>
  <c r="B11" i="6" s="1"/>
  <c r="B7" i="3" s="1"/>
  <c r="E8" i="4"/>
  <c r="A2" i="2"/>
  <c r="B40" i="4" l="1"/>
  <c r="B86" i="4" l="1"/>
  <c r="G71" i="4"/>
  <c r="C63" i="4"/>
  <c r="C64" i="4"/>
  <c r="E71" i="4"/>
  <c r="F71" i="4" s="1"/>
  <c r="E69" i="4"/>
  <c r="B74" i="4"/>
  <c r="G66" i="4"/>
  <c r="H71" i="4" l="1"/>
  <c r="B79" i="4" s="1"/>
  <c r="F63" i="4"/>
  <c r="C65" i="4" s="1"/>
  <c r="F62" i="4"/>
  <c r="F64" i="4" s="1"/>
  <c r="B75" i="4"/>
  <c r="B84" i="4"/>
  <c r="B2" i="4"/>
  <c r="E2" i="4" s="1"/>
  <c r="AD19" i="3" s="1"/>
  <c r="L4" i="2"/>
  <c r="AG19" i="3" l="1"/>
  <c r="AH19" i="3"/>
  <c r="AF19" i="3"/>
  <c r="E19" i="3" s="1"/>
  <c r="AJ19" i="3"/>
  <c r="AI19" i="3"/>
  <c r="AE19" i="3"/>
  <c r="AK19" i="3"/>
  <c r="E20" i="3" s="1"/>
  <c r="G64" i="4"/>
  <c r="C66" i="4" s="1"/>
  <c r="B76" i="4" s="1"/>
  <c r="B3" i="4"/>
  <c r="L5" i="2" l="1"/>
  <c r="L6" i="2" s="1"/>
  <c r="L7" i="2" s="1"/>
  <c r="FB81" i="6"/>
  <c r="FB79" i="6"/>
  <c r="FD70" i="6"/>
  <c r="FD74" i="6"/>
  <c r="FB74" i="6" s="1"/>
  <c r="FD73" i="6"/>
  <c r="FD72" i="6"/>
  <c r="FD71" i="6"/>
  <c r="FB73" i="6"/>
  <c r="FB70" i="6"/>
  <c r="AC43" i="8"/>
  <c r="AF42" i="8"/>
  <c r="AE42" i="8"/>
  <c r="AC42" i="8"/>
  <c r="AC44" i="8" s="1"/>
  <c r="AB42" i="8"/>
  <c r="AA10" i="8"/>
  <c r="AA8" i="8"/>
  <c r="V23" i="8"/>
  <c r="V22" i="8"/>
  <c r="M21" i="8"/>
  <c r="N21" i="8" s="1"/>
  <c r="M20" i="8"/>
  <c r="N20" i="8" s="1"/>
  <c r="M19" i="8"/>
  <c r="N19" i="8" s="1"/>
  <c r="M18" i="8"/>
  <c r="N18" i="8" s="1"/>
  <c r="D8" i="8"/>
  <c r="M7" i="8"/>
  <c r="N7" i="8" s="1"/>
  <c r="L7" i="8"/>
  <c r="L8" i="8" s="1"/>
  <c r="L9" i="8" s="1"/>
  <c r="M6" i="8"/>
  <c r="N6" i="8" s="1"/>
  <c r="C21" i="3"/>
  <c r="D48" i="7"/>
  <c r="C48" i="7"/>
  <c r="AD43" i="8" l="1"/>
  <c r="AE43" i="8" s="1"/>
  <c r="AF43" i="8" s="1"/>
  <c r="AC45" i="8"/>
  <c r="AD42" i="8" s="1"/>
  <c r="AD44" i="8" s="1"/>
  <c r="AE44" i="8" s="1"/>
  <c r="AF44" i="8" s="1"/>
  <c r="L10" i="8"/>
  <c r="M9" i="8"/>
  <c r="N9" i="8" s="1"/>
  <c r="M8" i="8"/>
  <c r="N8" i="8" s="1"/>
  <c r="D5" i="3"/>
  <c r="N7" i="4"/>
  <c r="O7" i="4" s="1"/>
  <c r="O6" i="4"/>
  <c r="O5" i="4"/>
  <c r="P35" i="7"/>
  <c r="Q35" i="7"/>
  <c r="R35" i="7"/>
  <c r="S35" i="7"/>
  <c r="T35" i="7"/>
  <c r="U35" i="7"/>
  <c r="V35" i="7"/>
  <c r="W35" i="7"/>
  <c r="BE37" i="7"/>
  <c r="BF37" i="7"/>
  <c r="BE35" i="7"/>
  <c r="BF35" i="7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X37" i="7"/>
  <c r="Y37" i="7"/>
  <c r="Z37" i="7"/>
  <c r="AA37" i="7"/>
  <c r="AB37" i="7"/>
  <c r="AC37" i="7"/>
  <c r="AD37" i="7"/>
  <c r="AE37" i="7"/>
  <c r="AF37" i="7"/>
  <c r="AG37" i="7"/>
  <c r="AH37" i="7"/>
  <c r="AI37" i="7"/>
  <c r="AJ37" i="7"/>
  <c r="AK37" i="7"/>
  <c r="AL37" i="7"/>
  <c r="AM37" i="7"/>
  <c r="AN37" i="7"/>
  <c r="AO37" i="7"/>
  <c r="AP37" i="7"/>
  <c r="AQ37" i="7"/>
  <c r="AR37" i="7"/>
  <c r="AS37" i="7"/>
  <c r="AT37" i="7"/>
  <c r="AU37" i="7"/>
  <c r="AV37" i="7"/>
  <c r="AW37" i="7"/>
  <c r="AX37" i="7"/>
  <c r="AY37" i="7"/>
  <c r="AZ37" i="7"/>
  <c r="BA37" i="7"/>
  <c r="BB37" i="7"/>
  <c r="BC37" i="7"/>
  <c r="BD37" i="7"/>
  <c r="B37" i="7"/>
  <c r="C1" i="7"/>
  <c r="D1" i="7"/>
  <c r="E1" i="7"/>
  <c r="F1" i="7"/>
  <c r="G1" i="7"/>
  <c r="H1" i="7"/>
  <c r="I1" i="7"/>
  <c r="J1" i="7"/>
  <c r="K1" i="7"/>
  <c r="L1" i="7"/>
  <c r="M1" i="7"/>
  <c r="N1" i="7"/>
  <c r="O1" i="7"/>
  <c r="X1" i="7"/>
  <c r="Y1" i="7"/>
  <c r="Z1" i="7"/>
  <c r="AA1" i="7"/>
  <c r="AB1" i="7"/>
  <c r="AC1" i="7"/>
  <c r="AD1" i="7"/>
  <c r="AE1" i="7"/>
  <c r="AF1" i="7"/>
  <c r="AG1" i="7"/>
  <c r="AH1" i="7"/>
  <c r="AI1" i="7"/>
  <c r="AJ1" i="7"/>
  <c r="AK1" i="7"/>
  <c r="AL1" i="7"/>
  <c r="AM1" i="7"/>
  <c r="AN1" i="7"/>
  <c r="AO1" i="7"/>
  <c r="AP1" i="7"/>
  <c r="AQ1" i="7"/>
  <c r="AR1" i="7"/>
  <c r="AS1" i="7"/>
  <c r="AT1" i="7"/>
  <c r="AU1" i="7"/>
  <c r="AV1" i="7"/>
  <c r="AW1" i="7"/>
  <c r="AX1" i="7"/>
  <c r="AY1" i="7"/>
  <c r="AZ1" i="7"/>
  <c r="BA1" i="7"/>
  <c r="BB1" i="7"/>
  <c r="BC1" i="7"/>
  <c r="BD1" i="7"/>
  <c r="B1" i="7"/>
  <c r="B20" i="4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E47" i="7" l="1"/>
  <c r="G47" i="7"/>
  <c r="D47" i="7"/>
  <c r="F47" i="7"/>
  <c r="C47" i="7"/>
  <c r="W3" i="8" s="1"/>
  <c r="H47" i="7"/>
  <c r="N8" i="4"/>
  <c r="N9" i="4" s="1"/>
  <c r="N10" i="4" s="1"/>
  <c r="N11" i="4" s="1"/>
  <c r="N12" i="4" s="1"/>
  <c r="N13" i="4" s="1"/>
  <c r="N14" i="4" s="1"/>
  <c r="N15" i="4" s="1"/>
  <c r="N16" i="4" s="1"/>
  <c r="N17" i="4" s="1"/>
  <c r="N18" i="4" s="1"/>
  <c r="N19" i="4" s="1"/>
  <c r="N20" i="4" s="1"/>
  <c r="N21" i="4" s="1"/>
  <c r="N22" i="4" s="1"/>
  <c r="N23" i="4" s="1"/>
  <c r="N24" i="4" s="1"/>
  <c r="N25" i="4" s="1"/>
  <c r="N26" i="4" s="1"/>
  <c r="N27" i="4" s="1"/>
  <c r="N28" i="4" s="1"/>
  <c r="N29" i="4" s="1"/>
  <c r="N30" i="4" s="1"/>
  <c r="N31" i="4" s="1"/>
  <c r="N32" i="4" s="1"/>
  <c r="N33" i="4" s="1"/>
  <c r="N34" i="4" s="1"/>
  <c r="N35" i="4" s="1"/>
  <c r="N36" i="4" s="1"/>
  <c r="N37" i="4" s="1"/>
  <c r="N38" i="4" s="1"/>
  <c r="N39" i="4" s="1"/>
  <c r="N40" i="4" s="1"/>
  <c r="N41" i="4" s="1"/>
  <c r="N42" i="4" s="1"/>
  <c r="N43" i="4" s="1"/>
  <c r="N44" i="4" s="1"/>
  <c r="N45" i="4" s="1"/>
  <c r="N46" i="4" s="1"/>
  <c r="N47" i="4" s="1"/>
  <c r="N48" i="4" s="1"/>
  <c r="N49" i="4" s="1"/>
  <c r="N50" i="4" s="1"/>
  <c r="N51" i="4" s="1"/>
  <c r="N52" i="4" s="1"/>
  <c r="M10" i="8"/>
  <c r="N10" i="8" s="1"/>
  <c r="L11" i="8"/>
  <c r="AB3" i="3"/>
  <c r="C9" i="8" l="1"/>
  <c r="U14" i="8" s="1"/>
  <c r="W8" i="8" s="1"/>
  <c r="O8" i="4"/>
  <c r="L12" i="8"/>
  <c r="M11" i="8"/>
  <c r="N11" i="8" s="1"/>
  <c r="O9" i="4"/>
  <c r="C49" i="7"/>
  <c r="V7" i="8" l="1"/>
  <c r="C6" i="8"/>
  <c r="U6" i="8" s="1"/>
  <c r="M12" i="8"/>
  <c r="N12" i="8" s="1"/>
  <c r="L13" i="8"/>
  <c r="O10" i="4"/>
  <c r="B41" i="1"/>
  <c r="M1" i="1"/>
  <c r="C3" i="4"/>
  <c r="C4" i="4" s="1"/>
  <c r="C17" i="6" l="1"/>
  <c r="C18" i="6"/>
  <c r="D7" i="6"/>
  <c r="B4" i="1"/>
  <c r="C4" i="1" s="1"/>
  <c r="H4" i="1" s="1"/>
  <c r="B3" i="1"/>
  <c r="A15" i="1"/>
  <c r="A18" i="6"/>
  <c r="A3" i="1"/>
  <c r="A17" i="6"/>
  <c r="M11" i="1"/>
  <c r="L14" i="8"/>
  <c r="M13" i="8"/>
  <c r="N13" i="8" s="1"/>
  <c r="M8" i="1"/>
  <c r="M6" i="1"/>
  <c r="O11" i="4"/>
  <c r="B35" i="1"/>
  <c r="A4" i="1"/>
  <c r="C36" i="1"/>
  <c r="B8" i="6" l="1"/>
  <c r="H1" i="3" s="1"/>
  <c r="C3" i="1"/>
  <c r="H3" i="1" s="1"/>
  <c r="H5" i="1" s="1"/>
  <c r="FB80" i="6"/>
  <c r="M3" i="1"/>
  <c r="C26" i="3"/>
  <c r="E18" i="6"/>
  <c r="AA13" i="8"/>
  <c r="U13" i="8" s="1"/>
  <c r="L15" i="8"/>
  <c r="M14" i="8"/>
  <c r="N14" i="8" s="1"/>
  <c r="C37" i="1"/>
  <c r="O12" i="4"/>
  <c r="C35" i="1"/>
  <c r="E17" i="6" l="1"/>
  <c r="C32" i="1"/>
  <c r="C31" i="1"/>
  <c r="C33" i="1"/>
  <c r="C34" i="1"/>
  <c r="FD79" i="6"/>
  <c r="M15" i="8"/>
  <c r="N15" i="8" s="1"/>
  <c r="L16" i="8"/>
  <c r="O13" i="4"/>
  <c r="D14" i="4"/>
  <c r="E14" i="4"/>
  <c r="E15" i="4"/>
  <c r="D15" i="4"/>
  <c r="C40" i="1" l="1"/>
  <c r="C43" i="1"/>
  <c r="B80" i="4"/>
  <c r="M16" i="8"/>
  <c r="N16" i="8" s="1"/>
  <c r="L17" i="8"/>
  <c r="O14" i="4"/>
  <c r="B17" i="4"/>
  <c r="C41" i="1" l="1"/>
  <c r="B81" i="4"/>
  <c r="B82" i="4" s="1"/>
  <c r="B85" i="4" s="1"/>
  <c r="M17" i="8"/>
  <c r="N17" i="8" s="1"/>
  <c r="N22" i="8" s="1"/>
  <c r="L25" i="8"/>
  <c r="M25" i="8" s="1"/>
  <c r="O15" i="4"/>
  <c r="C5" i="8" l="1"/>
  <c r="U5" i="8" s="1"/>
  <c r="O16" i="4"/>
  <c r="O17" i="4" l="1"/>
  <c r="O18" i="4" l="1"/>
  <c r="O19" i="4" l="1"/>
  <c r="O20" i="4" l="1"/>
  <c r="O21" i="4" l="1"/>
  <c r="O22" i="4" l="1"/>
  <c r="O23" i="4" l="1"/>
  <c r="O24" i="4" l="1"/>
  <c r="O25" i="4" l="1"/>
  <c r="O26" i="4" l="1"/>
  <c r="O27" i="4" l="1"/>
  <c r="O28" i="4" l="1"/>
  <c r="O29" i="4" l="1"/>
  <c r="O30" i="4" l="1"/>
  <c r="O31" i="4" l="1"/>
  <c r="O32" i="4" l="1"/>
  <c r="O33" i="4" l="1"/>
  <c r="O34" i="4" l="1"/>
  <c r="O35" i="4" l="1"/>
  <c r="O36" i="4" l="1"/>
  <c r="O37" i="4" l="1"/>
  <c r="O38" i="4" l="1"/>
  <c r="O39" i="4" l="1"/>
  <c r="O40" i="4" l="1"/>
  <c r="O41" i="4" l="1"/>
  <c r="D2" i="4" s="1"/>
  <c r="H2" i="3" s="1"/>
  <c r="H3" i="3" s="1"/>
  <c r="D8" i="6" s="1"/>
  <c r="B5" i="3" s="1"/>
  <c r="B41" i="3" l="1"/>
  <c r="C4" i="8"/>
  <c r="B40" i="3"/>
  <c r="D4" i="6"/>
  <c r="FD81" i="6" s="1"/>
  <c r="B16" i="3"/>
  <c r="B10" i="3"/>
  <c r="B19" i="3" s="1"/>
  <c r="E6" i="3"/>
  <c r="E5" i="3"/>
  <c r="FB84" i="6" s="1"/>
  <c r="B41" i="4"/>
  <c r="B42" i="4" s="1"/>
  <c r="B3" i="3"/>
  <c r="C10" i="3" s="1"/>
  <c r="O42" i="4"/>
  <c r="U4" i="8" l="1"/>
  <c r="N25" i="8"/>
  <c r="B24" i="4"/>
  <c r="C3" i="8"/>
  <c r="B11" i="3"/>
  <c r="O43" i="4"/>
  <c r="B21" i="3" l="1"/>
  <c r="FD100" i="6" s="1"/>
  <c r="AA9" i="8"/>
  <c r="AA11" i="8" s="1"/>
  <c r="B15" i="8"/>
  <c r="D5" i="8"/>
  <c r="D4" i="8"/>
  <c r="U3" i="8"/>
  <c r="U12" i="8" s="1"/>
  <c r="D6" i="8"/>
  <c r="C26" i="4"/>
  <c r="C27" i="4"/>
  <c r="D7" i="8"/>
  <c r="O44" i="4"/>
  <c r="B23" i="3" l="1"/>
  <c r="B25" i="3" s="1"/>
  <c r="B17" i="1" s="1"/>
  <c r="C19" i="3"/>
  <c r="F20" i="3" s="1"/>
  <c r="B38" i="6" s="1"/>
  <c r="D38" i="6" s="1"/>
  <c r="FB98" i="6"/>
  <c r="V5" i="8"/>
  <c r="U11" i="8"/>
  <c r="T55" i="8"/>
  <c r="T56" i="8"/>
  <c r="U10" i="8"/>
  <c r="V4" i="8"/>
  <c r="V6" i="8"/>
  <c r="C11" i="8"/>
  <c r="C14" i="8" s="1"/>
  <c r="O45" i="4"/>
  <c r="B28" i="3" l="1"/>
  <c r="E11" i="4" s="1"/>
  <c r="D11" i="4" s="1"/>
  <c r="F19" i="3"/>
  <c r="B36" i="6" s="1"/>
  <c r="D36" i="6" s="1"/>
  <c r="B39" i="6" s="1"/>
  <c r="FB100" i="6"/>
  <c r="W11" i="8"/>
  <c r="W12" i="8" s="1"/>
  <c r="U18" i="8" s="1"/>
  <c r="T57" i="8"/>
  <c r="U57" i="8" s="1"/>
  <c r="W7" i="8"/>
  <c r="Y7" i="8" s="1"/>
  <c r="C24" i="4"/>
  <c r="D24" i="4" s="1"/>
  <c r="O46" i="4"/>
  <c r="E29" i="3" l="1"/>
  <c r="C11" i="4"/>
  <c r="F29" i="3"/>
  <c r="B11" i="4"/>
  <c r="B29" i="3" s="1"/>
  <c r="FB109" i="6" s="1"/>
  <c r="H29" i="3"/>
  <c r="G29" i="3" s="1"/>
  <c r="U17" i="8"/>
  <c r="W16" i="8"/>
  <c r="W18" i="8" s="1"/>
  <c r="B15" i="1"/>
  <c r="B18" i="1"/>
  <c r="O47" i="4"/>
  <c r="W17" i="8" l="1"/>
  <c r="W19" i="8" s="1"/>
  <c r="U19" i="8"/>
  <c r="U20" i="8" s="1"/>
  <c r="D31" i="3"/>
  <c r="A44" i="8" s="1"/>
  <c r="B44" i="8" s="1"/>
  <c r="B17" i="8" s="1"/>
  <c r="C17" i="8" s="1"/>
  <c r="C20" i="8" s="1"/>
  <c r="B26" i="6" s="1"/>
  <c r="C52" i="1"/>
  <c r="O48" i="4"/>
  <c r="W20" i="8" l="1"/>
  <c r="B27" i="6" s="1"/>
  <c r="FB104" i="6"/>
  <c r="B32" i="3"/>
  <c r="C45" i="1"/>
  <c r="O49" i="4"/>
  <c r="B21" i="1" l="1"/>
  <c r="C27" i="1" s="1"/>
  <c r="B33" i="3"/>
  <c r="O50" i="4"/>
  <c r="C25" i="1" l="1"/>
  <c r="C26" i="1"/>
  <c r="F44" i="1"/>
  <c r="B44" i="1" s="1"/>
  <c r="C24" i="1"/>
  <c r="C20" i="1"/>
  <c r="O52" i="4"/>
  <c r="O51" i="4"/>
  <c r="C21" i="1" l="1"/>
  <c r="D27" i="1" s="1"/>
  <c r="C28" i="1"/>
  <c r="M4" i="1"/>
  <c r="D25" i="1" l="1"/>
  <c r="D26" i="1"/>
  <c r="G44" i="1"/>
  <c r="D24" i="1"/>
  <c r="C44" i="1"/>
  <c r="C39" i="1"/>
  <c r="C46" i="1" l="1"/>
  <c r="C49" i="1" s="1"/>
  <c r="D28" i="1"/>
  <c r="C48" i="1" s="1"/>
  <c r="C50" i="1" l="1"/>
  <c r="C51" i="1" s="1"/>
  <c r="E52" i="1" s="1"/>
  <c r="F52" i="1" s="1"/>
  <c r="B31" i="3" l="1"/>
  <c r="B35" i="3" s="1"/>
  <c r="B37" i="3" s="1"/>
  <c r="FC111" i="6" s="1"/>
  <c r="B25" i="6" l="1"/>
  <c r="FB106" i="6"/>
</calcChain>
</file>

<file path=xl/sharedStrings.xml><?xml version="1.0" encoding="utf-8"?>
<sst xmlns="http://schemas.openxmlformats.org/spreadsheetml/2006/main" count="455" uniqueCount="367">
  <si>
    <t>belastbare wedde</t>
  </si>
  <si>
    <t>Basisbelasting</t>
  </si>
  <si>
    <t>Bruto jaarinkomen</t>
  </si>
  <si>
    <t>forfaitaire beroepskost</t>
  </si>
  <si>
    <t>totaal belasting</t>
  </si>
  <si>
    <t>Belastingsvermindering</t>
  </si>
  <si>
    <t>alleenstaande</t>
  </si>
  <si>
    <t>alleenstaande of gehuwd, echtg met beroepsink</t>
  </si>
  <si>
    <t>z ink</t>
  </si>
  <si>
    <t>Kinderen ten laste</t>
  </si>
  <si>
    <t>kinderen ten laste</t>
  </si>
  <si>
    <t>U bent</t>
  </si>
  <si>
    <t>fiscale toestand</t>
  </si>
  <si>
    <t>Bent u mindervalide</t>
  </si>
  <si>
    <t>inkomsten partner</t>
  </si>
  <si>
    <t>Partner heeft GEEN persoonlijke inkomsten</t>
  </si>
  <si>
    <t>alleenstaande ouder</t>
  </si>
  <si>
    <t>PL Mindervalide</t>
  </si>
  <si>
    <t>Partner Mindervalide</t>
  </si>
  <si>
    <t/>
  </si>
  <si>
    <t>Hoeveel kinderen heeft u ten laste?</t>
  </si>
  <si>
    <t>Hoeveel van deze kinderen zijn mindervalide?</t>
  </si>
  <si>
    <t>Hoeveel andere personen heeft u ten laste?</t>
  </si>
  <si>
    <t>Hoeveel van deze andere personen zijn mindervalide?</t>
  </si>
  <si>
    <t>anderen ten laste</t>
  </si>
  <si>
    <t>totaal verminderingen</t>
  </si>
  <si>
    <t>totaal vermindering</t>
  </si>
  <si>
    <t>verschuldigde belasting</t>
  </si>
  <si>
    <t>verschuldigde belasting / maand</t>
  </si>
  <si>
    <t>contractueel personeelslid met werkbonus</t>
  </si>
  <si>
    <t>tewerkstelling</t>
  </si>
  <si>
    <t>bent u statutair of contractueel?</t>
  </si>
  <si>
    <t>belastbare netto Jaarwedde</t>
  </si>
  <si>
    <t>Vermindering werkbonus</t>
  </si>
  <si>
    <t xml:space="preserve">simulatie voor </t>
  </si>
  <si>
    <t>stamnummer</t>
  </si>
  <si>
    <t>jaarwedde</t>
  </si>
  <si>
    <t>% tewerkstelling</t>
  </si>
  <si>
    <t>aantal gewerkte dagen</t>
  </si>
  <si>
    <t>aantal werkdagen/maand</t>
  </si>
  <si>
    <t>bruto maandwedde</t>
  </si>
  <si>
    <t>ZIV wedde</t>
  </si>
  <si>
    <t>FOP wedde</t>
  </si>
  <si>
    <t>bedrag toelage</t>
  </si>
  <si>
    <t>maandbedrag</t>
  </si>
  <si>
    <t>Belastbare wedde</t>
  </si>
  <si>
    <t>BBSZ</t>
  </si>
  <si>
    <t>Basis BBSZ</t>
  </si>
  <si>
    <t>bedrijfsvoorheffing wedde</t>
  </si>
  <si>
    <t>vermindering 3</t>
  </si>
  <si>
    <t>aangerekende BV wedde</t>
  </si>
  <si>
    <t>netto</t>
  </si>
  <si>
    <t>mandaat</t>
  </si>
  <si>
    <t xml:space="preserve">Type: </t>
  </si>
  <si>
    <t>Totaal FOP</t>
  </si>
  <si>
    <t>Totaal Bruto wedde en toelagen</t>
  </si>
  <si>
    <t>voor belastbare wedde:</t>
  </si>
  <si>
    <t>haardtoelage</t>
  </si>
  <si>
    <t>standplaatstoelage</t>
  </si>
  <si>
    <t>HAU1</t>
  </si>
  <si>
    <t>Trap</t>
  </si>
  <si>
    <t>M1.1</t>
  </si>
  <si>
    <t>M2.1</t>
  </si>
  <si>
    <t>M3.1</t>
  </si>
  <si>
    <t>M4.1</t>
  </si>
  <si>
    <t>M5.1</t>
  </si>
  <si>
    <t>M1.2</t>
  </si>
  <si>
    <t>M2.2</t>
  </si>
  <si>
    <t>M3.2</t>
  </si>
  <si>
    <t>M4.2</t>
  </si>
  <si>
    <t>M5.2</t>
  </si>
  <si>
    <t>O6ir</t>
  </si>
  <si>
    <t>O2ir</t>
  </si>
  <si>
    <t>O3ir</t>
  </si>
  <si>
    <t>O4ir</t>
  </si>
  <si>
    <t>O5ir</t>
  </si>
  <si>
    <t>O1</t>
  </si>
  <si>
    <t>O2</t>
  </si>
  <si>
    <t>O3</t>
  </si>
  <si>
    <t>O4</t>
  </si>
  <si>
    <t>O5</t>
  </si>
  <si>
    <t>O6</t>
  </si>
  <si>
    <t>O7</t>
  </si>
  <si>
    <t>O8</t>
  </si>
  <si>
    <t>O4bis</t>
  </si>
  <si>
    <t>O4bis ir</t>
  </si>
  <si>
    <t>M6</t>
  </si>
  <si>
    <t>M7</t>
  </si>
  <si>
    <t>M7 bis</t>
  </si>
  <si>
    <t>CSV1</t>
  </si>
  <si>
    <t>CSV2</t>
  </si>
  <si>
    <t>CSV3</t>
  </si>
  <si>
    <t>CSV4</t>
  </si>
  <si>
    <t>CSV5</t>
  </si>
  <si>
    <t>CSV6</t>
  </si>
  <si>
    <t>B1</t>
  </si>
  <si>
    <t>B2</t>
  </si>
  <si>
    <t>B3</t>
  </si>
  <si>
    <t>B4</t>
  </si>
  <si>
    <t>B5</t>
  </si>
  <si>
    <t>HAU2</t>
  </si>
  <si>
    <t>HAU3</t>
  </si>
  <si>
    <t>HAU4</t>
  </si>
  <si>
    <t>BASP1</t>
  </si>
  <si>
    <t>BASP2</t>
  </si>
  <si>
    <t>BASP3</t>
  </si>
  <si>
    <t>BASP4</t>
  </si>
  <si>
    <t>waarde loonschaal</t>
  </si>
  <si>
    <t>waarde loonschaal HF</t>
  </si>
  <si>
    <t>2-taligheid</t>
  </si>
  <si>
    <t>verbintenisT</t>
  </si>
  <si>
    <t>max</t>
  </si>
  <si>
    <t>AIG _C/O_1</t>
  </si>
  <si>
    <t>AIG _C/O_2</t>
  </si>
  <si>
    <t>BAC1</t>
  </si>
  <si>
    <t>BAC2</t>
  </si>
  <si>
    <t>BAC3</t>
  </si>
  <si>
    <t>BAC4</t>
  </si>
  <si>
    <t>BAC5</t>
  </si>
  <si>
    <t>BAC6</t>
  </si>
  <si>
    <t>BAC7</t>
  </si>
  <si>
    <t>BAC8</t>
  </si>
  <si>
    <t>toelage SAT</t>
  </si>
  <si>
    <t>V-Shape</t>
  </si>
  <si>
    <t>Fiscale toestand</t>
  </si>
  <si>
    <t>Toepassingsdatum</t>
  </si>
  <si>
    <t>Wet 02/08/71</t>
  </si>
  <si>
    <t>Wet 01/03/77</t>
  </si>
  <si>
    <t>Sociale uitkeringen</t>
  </si>
  <si>
    <t>Nieuwe loonschalen januari 1990 x</t>
  </si>
  <si>
    <t>KB 13.12.1989 - MB 21.12.1989</t>
  </si>
  <si>
    <t>januari 1990 x</t>
  </si>
  <si>
    <t>Index</t>
  </si>
  <si>
    <t>haard- of standplaatstoelage:</t>
  </si>
  <si>
    <t>Basis FOP</t>
  </si>
  <si>
    <t>Basis ZIV</t>
  </si>
  <si>
    <t>Totaal ZIV/RSZ</t>
  </si>
  <si>
    <t>Werkbonus</t>
  </si>
  <si>
    <t>vermindering werkbonus</t>
  </si>
  <si>
    <t>vermindering lage wedde statutair PL</t>
  </si>
  <si>
    <t>berekening tewerkstellingscoëfficient 2022</t>
  </si>
  <si>
    <t>index</t>
  </si>
  <si>
    <t>maand</t>
  </si>
  <si>
    <t>effectief gewerkte dagen/uren</t>
  </si>
  <si>
    <t>afwezige dagen/uren</t>
  </si>
  <si>
    <t>uren werkrooster (per week)</t>
  </si>
  <si>
    <t>tijdsbreuk</t>
  </si>
  <si>
    <t>coëfficiënt</t>
  </si>
  <si>
    <t>mandaat KC</t>
  </si>
  <si>
    <t>januari</t>
  </si>
  <si>
    <t>februari</t>
  </si>
  <si>
    <t>maart</t>
  </si>
  <si>
    <t>tewerkstellingscoëf.</t>
  </si>
  <si>
    <t>april</t>
  </si>
  <si>
    <t>mei</t>
  </si>
  <si>
    <t>Bruto vakantiegeld</t>
  </si>
  <si>
    <t>juni</t>
  </si>
  <si>
    <t>juli</t>
  </si>
  <si>
    <t>augustus</t>
  </si>
  <si>
    <t>Belastbaar vakantiegeld</t>
  </si>
  <si>
    <t>september</t>
  </si>
  <si>
    <t>Index betalingsmaand</t>
  </si>
  <si>
    <t>oktober</t>
  </si>
  <si>
    <t>percentage</t>
  </si>
  <si>
    <t>november</t>
  </si>
  <si>
    <t>Bedrijfsvoorheffing</t>
  </si>
  <si>
    <t>december</t>
  </si>
  <si>
    <t>bis</t>
  </si>
  <si>
    <t>netto vakantiegeld</t>
  </si>
  <si>
    <t>totaal tewerkstellingscoëfficiënt:</t>
  </si>
  <si>
    <t>uren werkrooster</t>
  </si>
  <si>
    <t>mei 2023</t>
  </si>
  <si>
    <t>haardtoelage of standplaats (h/s)</t>
  </si>
  <si>
    <t>wedde</t>
  </si>
  <si>
    <t>calog-niveau</t>
  </si>
  <si>
    <t>haard- of standplaats (H/S)</t>
  </si>
  <si>
    <t>weddecompl./ mandaat KC</t>
  </si>
  <si>
    <t>vast bedrag</t>
  </si>
  <si>
    <t>=</t>
  </si>
  <si>
    <t>7% bonus EJT</t>
  </si>
  <si>
    <t>7% toelage</t>
  </si>
  <si>
    <t>==&gt;</t>
  </si>
  <si>
    <t>min</t>
  </si>
  <si>
    <t>Integratiepremie</t>
  </si>
  <si>
    <t>Bruto</t>
  </si>
  <si>
    <t>ZIV</t>
  </si>
  <si>
    <t>RSZ contractueel</t>
  </si>
  <si>
    <t>BBSZ raming</t>
  </si>
  <si>
    <t>BBSZ contractueel</t>
  </si>
  <si>
    <t>BV voltijds december</t>
  </si>
  <si>
    <t>BV contractueel VT dec</t>
  </si>
  <si>
    <t>netto statutair</t>
  </si>
  <si>
    <t>netto contractueel</t>
  </si>
  <si>
    <t>7% bedrag</t>
  </si>
  <si>
    <t>minimum niet geïndexeerd</t>
  </si>
  <si>
    <t>maximum niet geïndexeerd</t>
  </si>
  <si>
    <t>Enkel blauwe vakken invullen.</t>
  </si>
  <si>
    <t>Bij kolom effectief gewerkte uren mag 1 blijven staan, indien voltijds tewerkstelling</t>
  </si>
  <si>
    <t>Bij langdurige deeltijdse tewerkstelling: bijvoorbeeld VVW, effectief gewerkte uren 30,4 en afwezige uren 7,6</t>
  </si>
  <si>
    <t>bij korte afwezigheden, bijv. Dag VDR, aantal uren van de maand gewerkt tellen en aantal uren afwezig tellen</t>
  </si>
  <si>
    <t>bijvoorbeeld 1 dag afwezig in april: effectief gewerkte uren 152, afwezige uren 7,6</t>
  </si>
  <si>
    <t>bijvoorbeeld 1 dag afwezig op 1 april en VVW in april (wo vrij): effectief gewerkte uren 121,60, afwezige uren 38 (4 woensdagen en 1 vrijdag)</t>
  </si>
  <si>
    <t>Indien deeltijds contract, kolom uren werkrooster aanpassen naar aantal uren vermeld in contract.</t>
  </si>
  <si>
    <t>Dan verder afwerken in effectieve uren en effectieve uren afwezig TEN OPZICHTE VAN HET UURROOSTER</t>
  </si>
  <si>
    <t>BV</t>
  </si>
  <si>
    <t>bedragen circulaire</t>
  </si>
  <si>
    <t>Simulatie op basis van</t>
  </si>
  <si>
    <t>Gehuwd</t>
  </si>
  <si>
    <t>Wettelijk samenwonend</t>
  </si>
  <si>
    <t>Alleenstaande</t>
  </si>
  <si>
    <t>Feitelijk samenwonend</t>
  </si>
  <si>
    <t>Gescheiden</t>
  </si>
  <si>
    <t>Weduwe/weduwnaar</t>
  </si>
  <si>
    <t>Varia</t>
  </si>
  <si>
    <t>Tewerkstelling</t>
  </si>
  <si>
    <t>Haard- of standplaatstoelage</t>
  </si>
  <si>
    <t>Type mandaat</t>
  </si>
  <si>
    <t>Trapberekening</t>
  </si>
  <si>
    <t>Wedden -
toelagen -
 vergoedingen</t>
  </si>
  <si>
    <t>=&gt; Blokkering index T&amp;V van 01/02/2002 tem 31/12/2003</t>
  </si>
  <si>
    <t>neen</t>
  </si>
  <si>
    <t>Waarde dienstvoertuig</t>
  </si>
  <si>
    <t xml:space="preserve">merk </t>
  </si>
  <si>
    <t>type</t>
  </si>
  <si>
    <t>voertuig</t>
  </si>
  <si>
    <t>minimumbedrag VAA</t>
  </si>
  <si>
    <t>brandstoftype</t>
  </si>
  <si>
    <t>CO2 uitstoot</t>
  </si>
  <si>
    <t>gram/km</t>
  </si>
  <si>
    <t>basis CO2 uitstoot</t>
  </si>
  <si>
    <t>fiscale vrijstelling</t>
  </si>
  <si>
    <t>CO2-percentage</t>
  </si>
  <si>
    <t>%</t>
  </si>
  <si>
    <t>Kalenderjaar</t>
  </si>
  <si>
    <t>schrikkeljaar (ja/neen)</t>
  </si>
  <si>
    <t>cataloguswaarde voertuig zonder korting, inclusief effectief betaalde BTW</t>
  </si>
  <si>
    <t>eerste inschrijvingsdatum</t>
  </si>
  <si>
    <t>Belastbaar voordeel</t>
  </si>
  <si>
    <t>cataloguswaarde</t>
  </si>
  <si>
    <t>CO2 percentage</t>
  </si>
  <si>
    <t>aantal dagen maand</t>
  </si>
  <si>
    <t>aantal dagen jaar</t>
  </si>
  <si>
    <t>leeftijd wagen in jaren</t>
  </si>
  <si>
    <t>% cataloguswaarde</t>
  </si>
  <si>
    <t>belast voordeel jaar</t>
  </si>
  <si>
    <t>belastb voordeel maand</t>
  </si>
  <si>
    <t>eigen bijdrage in €</t>
  </si>
  <si>
    <t>verrekende eigen bijdrage</t>
  </si>
  <si>
    <t>netto voordeel</t>
  </si>
  <si>
    <t>fiscale  vrijstelling</t>
  </si>
  <si>
    <t>Telewerkvergoeding</t>
  </si>
  <si>
    <t>Internet</t>
  </si>
  <si>
    <t>kantoorbenodigdheden</t>
  </si>
  <si>
    <t>Nederlands</t>
  </si>
  <si>
    <t>Français</t>
  </si>
  <si>
    <t>Allocation de résidence</t>
  </si>
  <si>
    <t>Enkel mogelijk indien in dienst VOOR 01/04/2001 en ononderbroken recht sindsdien</t>
  </si>
  <si>
    <t>Uniquement possible si entrée en service AVANT le 01/04/2001 et droit ininterrompu depuis</t>
  </si>
  <si>
    <t>Marié(e)</t>
  </si>
  <si>
    <t>En cohabitation légale</t>
  </si>
  <si>
    <t>En cohabitation de fait</t>
  </si>
  <si>
    <t>Veuf/veuve</t>
  </si>
  <si>
    <t>Revenus du/de la partenaire</t>
  </si>
  <si>
    <t>Le/la partenaire n'a PAS de revenus propres</t>
  </si>
  <si>
    <t>Type de mandat</t>
  </si>
  <si>
    <t>Simulation pour</t>
  </si>
  <si>
    <t>Numéro d'identification</t>
  </si>
  <si>
    <t>Base annuelle</t>
  </si>
  <si>
    <t>Mandat</t>
  </si>
  <si>
    <t>% de mise au travail</t>
  </si>
  <si>
    <t>Nombre de jours prestés</t>
  </si>
  <si>
    <t>Nombre de jours prestés/mois</t>
  </si>
  <si>
    <t>Traitement mensuel brut</t>
  </si>
  <si>
    <t>AMI traitement</t>
  </si>
  <si>
    <t>FPS traitement</t>
  </si>
  <si>
    <t>Allocation de foyer ou de résidence:</t>
  </si>
  <si>
    <t>Montant de l'allocation</t>
  </si>
  <si>
    <t>Montant mensuel</t>
  </si>
  <si>
    <t>Base FPS</t>
  </si>
  <si>
    <t>Base AMI</t>
  </si>
  <si>
    <t>Total brut traitement et allocations</t>
  </si>
  <si>
    <t>Total FPS</t>
  </si>
  <si>
    <t>Total AMI/ONSS</t>
  </si>
  <si>
    <t>Bonus à l'emploi</t>
  </si>
  <si>
    <t>Traitement imposable</t>
  </si>
  <si>
    <t>Base CSSS</t>
  </si>
  <si>
    <t>CSSS</t>
  </si>
  <si>
    <t>Précompte professionnel sur traitement</t>
  </si>
  <si>
    <t>Réduction bas salaires MP statutaire</t>
  </si>
  <si>
    <t>Réduction bonus à l'emploi</t>
  </si>
  <si>
    <t>Réduction 3</t>
  </si>
  <si>
    <t>Précompte prof. calculé sur le traitement</t>
  </si>
  <si>
    <t>Net</t>
  </si>
  <si>
    <t>Allocation de foyer</t>
  </si>
  <si>
    <t>Pour le traitement imposable:</t>
  </si>
  <si>
    <r>
      <rPr>
        <sz val="11"/>
        <rFont val="Calibri"/>
        <family val="2"/>
        <scheme val="minor"/>
      </rPr>
      <t xml:space="preserve">Allocation </t>
    </r>
    <r>
      <rPr>
        <sz val="11"/>
        <color theme="1"/>
        <rFont val="Calibri"/>
        <family val="2"/>
        <scheme val="minor"/>
      </rPr>
      <t xml:space="preserve">imposable </t>
    </r>
    <r>
      <rPr>
        <sz val="11"/>
        <color rgb="FFFF0000"/>
        <rFont val="Calibri"/>
        <family val="2"/>
        <scheme val="minor"/>
      </rPr>
      <t>travail à mi-temps à partir de 50/55 ans</t>
    </r>
  </si>
  <si>
    <t>Belastbare toelage Halftijds werken vanaf 55 jaar</t>
  </si>
  <si>
    <r>
      <t xml:space="preserve">Allocation </t>
    </r>
    <r>
      <rPr>
        <sz val="11"/>
        <color rgb="FFFF0000"/>
        <rFont val="Calibri"/>
        <family val="2"/>
        <scheme val="minor"/>
      </rPr>
      <t>travail à mi-temps à partir de 50/55 ans</t>
    </r>
  </si>
  <si>
    <t>Toelage Halftijds werken vanaf 55 jaar</t>
  </si>
  <si>
    <t>allocation d'engagement</t>
  </si>
  <si>
    <t>verbintenistoelage</t>
  </si>
  <si>
    <t>totaal toelage</t>
  </si>
  <si>
    <t>total allocations</t>
  </si>
  <si>
    <t>Kind ten laste</t>
  </si>
  <si>
    <t>enfant à charge</t>
  </si>
  <si>
    <t>gehuwd echtgen.</t>
  </si>
  <si>
    <t>Marié partenaire</t>
  </si>
  <si>
    <t>Geen inkomen</t>
  </si>
  <si>
    <t>Pas de revenus</t>
  </si>
  <si>
    <t>wel inkomen</t>
  </si>
  <si>
    <t>Revenus</t>
  </si>
  <si>
    <t>loonschaal</t>
  </si>
  <si>
    <t>Echelle</t>
  </si>
  <si>
    <t>Séparé(e)</t>
  </si>
  <si>
    <t>Isolé(e)</t>
  </si>
  <si>
    <t>EJT</t>
  </si>
  <si>
    <t>Vakantiegeld</t>
  </si>
  <si>
    <t>bijzondere vermindering voor pensioen</t>
  </si>
  <si>
    <t>Dienstjaren</t>
  </si>
  <si>
    <t>&gt;20 dienstjaren maar &lt;36 dienstjaren</t>
  </si>
  <si>
    <t>&gt;36 dienstjaren maar &lt;37 dienstjaren</t>
  </si>
  <si>
    <t>&gt;37 dienstjaren maar &lt;37,5 dienstjaren</t>
  </si>
  <si>
    <t>&gt;37,5 dienstjaren</t>
  </si>
  <si>
    <t>Années de service</t>
  </si>
  <si>
    <t>&gt;20 années de service mais &lt;36 années de service</t>
  </si>
  <si>
    <t>&gt;36 années de service mais &lt;37 années de service</t>
  </si>
  <si>
    <t>&gt;37 années de service mais &lt;37,5 années de service</t>
  </si>
  <si>
    <t xml:space="preserve"> </t>
  </si>
  <si>
    <t>Lokale politie</t>
  </si>
  <si>
    <t>Police locale</t>
  </si>
  <si>
    <t>Federale politie</t>
  </si>
  <si>
    <t>Police fédérale</t>
  </si>
  <si>
    <t>patronale bijdragen</t>
  </si>
  <si>
    <t>jaar</t>
  </si>
  <si>
    <t>Lokaal</t>
  </si>
  <si>
    <t>Federaal</t>
  </si>
  <si>
    <t>Contr</t>
  </si>
  <si>
    <t>FOP</t>
  </si>
  <si>
    <t>Soc. Dienst</t>
  </si>
  <si>
    <t>Kies hier de taal waarin u wenst verder te gaan =&gt; 
Choisissez la langue dans laquelle vous souhaitez poursuivre =&gt;</t>
  </si>
  <si>
    <t>&gt;37,5 années de service</t>
  </si>
  <si>
    <t> BSV1</t>
  </si>
  <si>
    <t>BSV2</t>
  </si>
  <si>
    <t>BSV3</t>
  </si>
  <si>
    <t>BSV4</t>
  </si>
  <si>
    <t>BSV5</t>
  </si>
  <si>
    <t>ouder dan 66 en zorgbehoevend ten laste</t>
  </si>
  <si>
    <t>Hoeveel personen ouder dan 66 en zorgbehouvend heeft u ten laste?</t>
  </si>
  <si>
    <t>echtg zonder inkomsten of pensioen &lt; 174 net/maand</t>
  </si>
  <si>
    <t>echtg alleen pensioen &gt;174 maar ≤579 net/maand</t>
  </si>
  <si>
    <t>echtg beroepsinkomsten &lt;290 euro net / maand</t>
  </si>
  <si>
    <t>Partner heeft pers. Inkomsten ≤290 euro netto / maand</t>
  </si>
  <si>
    <t>Le/la partenaire a des revenus ≤290 euros nets/mois</t>
  </si>
  <si>
    <t>Partner heeft pers. Inkomsten van &gt;290 euro netto / maand</t>
  </si>
  <si>
    <t>Le/la partenaire a des revenus &gt;290 euros nets/mois</t>
  </si>
  <si>
    <t>Partner heeft een pensioen ≤174 euro netto / maand</t>
  </si>
  <si>
    <t>Le/la partenaire a une pension ≤174 euros nets/mois</t>
  </si>
  <si>
    <t>Partner heeft een pensioen &gt;174 euro maar ≤579 euro netto /maand</t>
  </si>
  <si>
    <t>Le/la partenaire a une pension &gt;174 euros mais ≤579 euros nets/mois</t>
  </si>
  <si>
    <t>Partner heeft een pensioen van &gt;579 euro netto per maand</t>
  </si>
  <si>
    <t>Le/la partenaire a une pension &gt;579 euros nets/mois</t>
  </si>
  <si>
    <t>Partner is internationaal ambtenaar met &gt; 13.790 euro netto / jaar</t>
  </si>
  <si>
    <t>Le/la partenaire est  fonctionnaire international avec &gt; 13.790 euros nets/an</t>
  </si>
  <si>
    <t>tot 16710</t>
  </si>
  <si>
    <t>van 16710,01 tot 29500</t>
  </si>
  <si>
    <t>van 29500,01 tot 51050</t>
  </si>
  <si>
    <t>hoger dan 51050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</si>
</sst>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##\-#####\-##"/>
    <numFmt numFmtId="165" formatCode="0.0000"/>
    <numFmt numFmtId="166" formatCode="&quot;€&quot;\ #,##0.00"/>
    <numFmt numFmtId="167" formatCode="0.000000"/>
    <numFmt numFmtId="168" formatCode="0.0000_ ;\-0.0000\ "/>
    <numFmt numFmtId="169" formatCode="0.00000000"/>
    <numFmt numFmtId="170" formatCode="yyyy"/>
    <numFmt numFmtId="171" formatCode="mm\/yyyy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6"/>
      <name val="Arial"/>
      <family val="2"/>
    </font>
    <font>
      <sz val="8"/>
      <name val="Arial"/>
      <family val="2"/>
    </font>
    <font>
      <sz val="4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3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CC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41">
    <xf numFmtId="0" fontId="0" fillId="0" borderId="0" xfId="0"/>
    <xf numFmtId="10" fontId="0" fillId="0" borderId="0" xfId="0" applyNumberFormat="1"/>
    <xf numFmtId="0" fontId="0" fillId="0" borderId="0" xfId="0" quotePrefix="1"/>
    <xf numFmtId="0" fontId="0" fillId="2" borderId="0" xfId="0" applyFill="1"/>
    <xf numFmtId="14" fontId="0" fillId="0" borderId="0" xfId="0" applyNumberFormat="1"/>
    <xf numFmtId="2" fontId="0" fillId="0" borderId="0" xfId="0" applyNumberFormat="1"/>
    <xf numFmtId="2" fontId="1" fillId="2" borderId="0" xfId="0" applyNumberFormat="1" applyFont="1" applyFill="1" applyProtection="1">
      <protection locked="0"/>
    </xf>
    <xf numFmtId="164" fontId="0" fillId="2" borderId="0" xfId="0" applyNumberFormat="1" applyFill="1" applyProtection="1">
      <protection locked="0"/>
    </xf>
    <xf numFmtId="2" fontId="0" fillId="2" borderId="0" xfId="0" applyNumberFormat="1" applyFill="1" applyProtection="1">
      <protection locked="0"/>
    </xf>
    <xf numFmtId="2" fontId="1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/>
    <xf numFmtId="0" fontId="0" fillId="3" borderId="0" xfId="0" applyFill="1"/>
    <xf numFmtId="2" fontId="3" fillId="4" borderId="1" xfId="0" applyNumberFormat="1" applyFont="1" applyFill="1" applyBorder="1"/>
    <xf numFmtId="166" fontId="0" fillId="2" borderId="0" xfId="0" applyNumberFormat="1" applyFill="1" applyProtection="1">
      <protection locked="0"/>
    </xf>
    <xf numFmtId="1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2" fontId="0" fillId="0" borderId="7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4" fontId="0" fillId="0" borderId="0" xfId="0" applyNumberFormat="1"/>
    <xf numFmtId="4" fontId="0" fillId="0" borderId="1" xfId="0" applyNumberFormat="1" applyBorder="1"/>
    <xf numFmtId="4" fontId="0" fillId="0" borderId="10" xfId="0" applyNumberFormat="1" applyBorder="1"/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2" fontId="0" fillId="0" borderId="18" xfId="0" applyNumberFormat="1" applyBorder="1"/>
    <xf numFmtId="2" fontId="0" fillId="0" borderId="19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1" fontId="0" fillId="0" borderId="0" xfId="0" applyNumberFormat="1"/>
    <xf numFmtId="0" fontId="5" fillId="0" borderId="0" xfId="0" applyFont="1"/>
    <xf numFmtId="0" fontId="0" fillId="0" borderId="0" xfId="0" applyAlignment="1">
      <alignment horizontal="right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/>
    <xf numFmtId="2" fontId="0" fillId="0" borderId="17" xfId="0" applyNumberFormat="1" applyBorder="1"/>
    <xf numFmtId="0" fontId="0" fillId="0" borderId="20" xfId="0" applyBorder="1" applyAlignment="1">
      <alignment horizontal="center" vertical="center"/>
    </xf>
    <xf numFmtId="4" fontId="0" fillId="0" borderId="21" xfId="0" applyNumberFormat="1" applyBorder="1"/>
    <xf numFmtId="4" fontId="0" fillId="0" borderId="22" xfId="0" applyNumberFormat="1" applyBorder="1"/>
    <xf numFmtId="4" fontId="0" fillId="0" borderId="17" xfId="0" applyNumberFormat="1" applyBorder="1"/>
    <xf numFmtId="4" fontId="0" fillId="0" borderId="23" xfId="0" applyNumberFormat="1" applyBorder="1"/>
    <xf numFmtId="0" fontId="0" fillId="0" borderId="0" xfId="0" applyAlignment="1">
      <alignment horizontal="center"/>
    </xf>
    <xf numFmtId="165" fontId="0" fillId="0" borderId="0" xfId="0" applyNumberFormat="1"/>
    <xf numFmtId="14" fontId="0" fillId="0" borderId="0" xfId="0" applyNumberFormat="1" applyAlignment="1">
      <alignment horizontal="center"/>
    </xf>
    <xf numFmtId="167" fontId="0" fillId="0" borderId="0" xfId="0" applyNumberFormat="1"/>
    <xf numFmtId="165" fontId="0" fillId="0" borderId="0" xfId="0" applyNumberFormat="1" applyAlignment="1">
      <alignment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14" fontId="1" fillId="0" borderId="0" xfId="0" applyNumberFormat="1" applyFont="1" applyAlignment="1">
      <alignment horizontal="center"/>
    </xf>
    <xf numFmtId="1" fontId="0" fillId="0" borderId="26" xfId="0" applyNumberFormat="1" applyBorder="1" applyAlignment="1">
      <alignment horizontal="center"/>
    </xf>
    <xf numFmtId="0" fontId="0" fillId="3" borderId="35" xfId="0" applyFill="1" applyBorder="1"/>
    <xf numFmtId="165" fontId="0" fillId="5" borderId="0" xfId="0" applyNumberFormat="1" applyFill="1" applyProtection="1">
      <protection locked="0"/>
    </xf>
    <xf numFmtId="0" fontId="1" fillId="3" borderId="38" xfId="0" applyFont="1" applyFill="1" applyBorder="1"/>
    <xf numFmtId="0" fontId="0" fillId="3" borderId="1" xfId="0" applyFill="1" applyBorder="1"/>
    <xf numFmtId="2" fontId="0" fillId="4" borderId="0" xfId="0" applyNumberFormat="1" applyFill="1" applyProtection="1">
      <protection locked="0"/>
    </xf>
    <xf numFmtId="0" fontId="0" fillId="3" borderId="38" xfId="0" applyFill="1" applyBorder="1"/>
    <xf numFmtId="2" fontId="0" fillId="6" borderId="0" xfId="0" applyNumberFormat="1" applyFill="1"/>
    <xf numFmtId="0" fontId="1" fillId="3" borderId="1" xfId="0" applyFont="1" applyFill="1" applyBorder="1"/>
    <xf numFmtId="0" fontId="0" fillId="3" borderId="30" xfId="0" applyFill="1" applyBorder="1"/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6" borderId="4" xfId="0" applyFill="1" applyBorder="1"/>
    <xf numFmtId="0" fontId="0" fillId="6" borderId="39" xfId="0" applyFill="1" applyBorder="1"/>
    <xf numFmtId="0" fontId="1" fillId="3" borderId="40" xfId="0" applyFont="1" applyFill="1" applyBorder="1"/>
    <xf numFmtId="2" fontId="11" fillId="0" borderId="0" xfId="0" applyNumberFormat="1" applyFont="1"/>
    <xf numFmtId="0" fontId="0" fillId="0" borderId="0" xfId="0" quotePrefix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4" borderId="7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6" borderId="1" xfId="0" applyFill="1" applyBorder="1"/>
    <xf numFmtId="0" fontId="0" fillId="6" borderId="41" xfId="0" applyFill="1" applyBorder="1"/>
    <xf numFmtId="0" fontId="1" fillId="3" borderId="42" xfId="0" applyFont="1" applyFill="1" applyBorder="1"/>
    <xf numFmtId="0" fontId="1" fillId="0" borderId="0" xfId="0" applyFont="1" applyAlignment="1">
      <alignment vertical="center"/>
    </xf>
    <xf numFmtId="165" fontId="0" fillId="6" borderId="0" xfId="0" applyNumberFormat="1" applyFill="1"/>
    <xf numFmtId="0" fontId="0" fillId="0" borderId="42" xfId="0" applyBorder="1"/>
    <xf numFmtId="2" fontId="0" fillId="0" borderId="0" xfId="0" quotePrefix="1" applyNumberFormat="1" applyAlignment="1">
      <alignment vertical="center" wrapText="1"/>
    </xf>
    <xf numFmtId="0" fontId="0" fillId="0" borderId="43" xfId="0" applyBorder="1"/>
    <xf numFmtId="0" fontId="0" fillId="3" borderId="44" xfId="0" applyFill="1" applyBorder="1"/>
    <xf numFmtId="0" fontId="0" fillId="4" borderId="1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6" borderId="14" xfId="0" applyFill="1" applyBorder="1"/>
    <xf numFmtId="0" fontId="0" fillId="6" borderId="45" xfId="0" applyFill="1" applyBorder="1"/>
    <xf numFmtId="2" fontId="1" fillId="0" borderId="0" xfId="1" applyNumberFormat="1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7" borderId="46" xfId="0" applyFill="1" applyBorder="1"/>
    <xf numFmtId="0" fontId="0" fillId="3" borderId="46" xfId="0" applyFill="1" applyBorder="1"/>
    <xf numFmtId="165" fontId="0" fillId="2" borderId="1" xfId="0" applyNumberFormat="1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3" borderId="44" xfId="0" applyFill="1" applyBorder="1" applyProtection="1">
      <protection locked="0"/>
    </xf>
    <xf numFmtId="0" fontId="0" fillId="4" borderId="25" xfId="0" applyFill="1" applyBorder="1" applyProtection="1">
      <protection locked="0"/>
    </xf>
    <xf numFmtId="165" fontId="11" fillId="0" borderId="37" xfId="0" applyNumberFormat="1" applyFont="1" applyBorder="1"/>
    <xf numFmtId="165" fontId="11" fillId="0" borderId="54" xfId="0" applyNumberFormat="1" applyFont="1" applyBorder="1"/>
    <xf numFmtId="0" fontId="0" fillId="3" borderId="30" xfId="0" applyFill="1" applyBorder="1" applyAlignment="1">
      <alignment horizontal="center" wrapText="1"/>
    </xf>
    <xf numFmtId="0" fontId="1" fillId="3" borderId="30" xfId="0" applyFont="1" applyFill="1" applyBorder="1" applyAlignment="1">
      <alignment horizontal="center" wrapText="1"/>
    </xf>
    <xf numFmtId="0" fontId="1" fillId="3" borderId="31" xfId="0" applyFont="1" applyFill="1" applyBorder="1" applyAlignment="1">
      <alignment horizontal="center" wrapText="1"/>
    </xf>
    <xf numFmtId="0" fontId="0" fillId="0" borderId="51" xfId="0" applyBorder="1"/>
    <xf numFmtId="0" fontId="0" fillId="0" borderId="52" xfId="0" applyBorder="1"/>
    <xf numFmtId="2" fontId="0" fillId="0" borderId="52" xfId="0" applyNumberFormat="1" applyBorder="1"/>
    <xf numFmtId="49" fontId="1" fillId="8" borderId="55" xfId="0" applyNumberFormat="1" applyFont="1" applyFill="1" applyBorder="1"/>
    <xf numFmtId="0" fontId="0" fillId="5" borderId="56" xfId="0" applyFill="1" applyBorder="1" applyProtection="1">
      <protection locked="0"/>
    </xf>
    <xf numFmtId="0" fontId="0" fillId="5" borderId="57" xfId="0" applyFill="1" applyBorder="1" applyProtection="1">
      <protection locked="0"/>
    </xf>
    <xf numFmtId="0" fontId="0" fillId="2" borderId="58" xfId="0" applyFill="1" applyBorder="1" applyProtection="1">
      <protection locked="0"/>
    </xf>
    <xf numFmtId="2" fontId="0" fillId="5" borderId="59" xfId="0" applyNumberFormat="1" applyFill="1" applyBorder="1" applyProtection="1">
      <protection locked="0"/>
    </xf>
    <xf numFmtId="0" fontId="1" fillId="0" borderId="0" xfId="0" applyFont="1"/>
    <xf numFmtId="0" fontId="0" fillId="0" borderId="49" xfId="0" applyBorder="1"/>
    <xf numFmtId="0" fontId="0" fillId="3" borderId="62" xfId="0" applyFill="1" applyBorder="1"/>
    <xf numFmtId="165" fontId="0" fillId="6" borderId="0" xfId="0" applyNumberFormat="1" applyFill="1" applyProtection="1">
      <protection locked="0"/>
    </xf>
    <xf numFmtId="2" fontId="0" fillId="3" borderId="63" xfId="0" applyNumberFormat="1" applyFill="1" applyBorder="1" applyAlignment="1">
      <alignment horizontal="right"/>
    </xf>
    <xf numFmtId="2" fontId="0" fillId="9" borderId="64" xfId="0" applyNumberFormat="1" applyFill="1" applyBorder="1" applyAlignment="1" applyProtection="1">
      <alignment horizontal="center"/>
      <protection locked="0"/>
    </xf>
    <xf numFmtId="0" fontId="0" fillId="3" borderId="65" xfId="0" applyFill="1" applyBorder="1"/>
    <xf numFmtId="2" fontId="0" fillId="9" borderId="0" xfId="0" applyNumberFormat="1" applyFill="1" applyProtection="1">
      <protection locked="0"/>
    </xf>
    <xf numFmtId="2" fontId="1" fillId="9" borderId="0" xfId="0" applyNumberFormat="1" applyFont="1" applyFill="1" applyProtection="1">
      <protection locked="0"/>
    </xf>
    <xf numFmtId="0" fontId="7" fillId="3" borderId="65" xfId="0" applyFont="1" applyFill="1" applyBorder="1"/>
    <xf numFmtId="2" fontId="11" fillId="0" borderId="1" xfId="0" applyNumberFormat="1" applyFont="1" applyBorder="1"/>
    <xf numFmtId="0" fontId="0" fillId="3" borderId="67" xfId="0" applyFill="1" applyBorder="1"/>
    <xf numFmtId="2" fontId="11" fillId="0" borderId="14" xfId="0" applyNumberFormat="1" applyFont="1" applyBorder="1"/>
    <xf numFmtId="0" fontId="0" fillId="3" borderId="72" xfId="0" applyFill="1" applyBorder="1"/>
    <xf numFmtId="0" fontId="0" fillId="3" borderId="73" xfId="0" applyFill="1" applyBorder="1"/>
    <xf numFmtId="2" fontId="11" fillId="6" borderId="1" xfId="0" applyNumberFormat="1" applyFont="1" applyFill="1" applyBorder="1"/>
    <xf numFmtId="0" fontId="1" fillId="3" borderId="65" xfId="0" applyFont="1" applyFill="1" applyBorder="1"/>
    <xf numFmtId="0" fontId="0" fillId="3" borderId="74" xfId="0" applyFill="1" applyBorder="1"/>
    <xf numFmtId="2" fontId="0" fillId="0" borderId="0" xfId="0" quotePrefix="1" applyNumberFormat="1"/>
    <xf numFmtId="2" fontId="0" fillId="3" borderId="1" xfId="0" applyNumberFormat="1" applyFill="1" applyBorder="1"/>
    <xf numFmtId="0" fontId="0" fillId="3" borderId="75" xfId="0" applyFill="1" applyBorder="1"/>
    <xf numFmtId="2" fontId="0" fillId="0" borderId="76" xfId="0" applyNumberFormat="1" applyBorder="1"/>
    <xf numFmtId="2" fontId="0" fillId="3" borderId="76" xfId="0" applyNumberFormat="1" applyFill="1" applyBorder="1"/>
    <xf numFmtId="169" fontId="0" fillId="0" borderId="0" xfId="0" applyNumberFormat="1"/>
    <xf numFmtId="0" fontId="0" fillId="6" borderId="0" xfId="0" applyFill="1"/>
    <xf numFmtId="0" fontId="0" fillId="0" borderId="1" xfId="0" applyBorder="1"/>
    <xf numFmtId="49" fontId="0" fillId="0" borderId="0" xfId="0" applyNumberFormat="1"/>
    <xf numFmtId="0" fontId="0" fillId="10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170" fontId="0" fillId="10" borderId="1" xfId="0" applyNumberFormat="1" applyFill="1" applyBorder="1" applyAlignment="1" applyProtection="1">
      <alignment horizontal="center"/>
      <protection locked="0"/>
    </xf>
    <xf numFmtId="166" fontId="0" fillId="10" borderId="1" xfId="0" applyNumberFormat="1" applyFill="1" applyBorder="1" applyAlignment="1" applyProtection="1">
      <alignment horizontal="left"/>
      <protection locked="0"/>
    </xf>
    <xf numFmtId="14" fontId="0" fillId="10" borderId="1" xfId="0" applyNumberFormat="1" applyFill="1" applyBorder="1" applyProtection="1">
      <protection locked="0"/>
    </xf>
    <xf numFmtId="17" fontId="0" fillId="0" borderId="1" xfId="0" applyNumberFormat="1" applyBorder="1" applyAlignment="1">
      <alignment horizontal="right"/>
    </xf>
    <xf numFmtId="17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0" fillId="0" borderId="1" xfId="0" quotePrefix="1" applyNumberFormat="1" applyBorder="1"/>
    <xf numFmtId="166" fontId="0" fillId="0" borderId="1" xfId="0" applyNumberFormat="1" applyBorder="1" applyAlignment="1">
      <alignment horizontal="center"/>
    </xf>
    <xf numFmtId="49" fontId="7" fillId="0" borderId="1" xfId="0" applyNumberFormat="1" applyFont="1" applyBorder="1"/>
    <xf numFmtId="166" fontId="0" fillId="10" borderId="1" xfId="0" applyNumberFormat="1" applyFill="1" applyBorder="1" applyAlignment="1" applyProtection="1">
      <alignment horizontal="center"/>
      <protection locked="0"/>
    </xf>
    <xf numFmtId="166" fontId="0" fillId="11" borderId="1" xfId="0" applyNumberFormat="1" applyFill="1" applyBorder="1" applyAlignment="1" applyProtection="1">
      <alignment horizontal="center"/>
      <protection locked="0"/>
    </xf>
    <xf numFmtId="166" fontId="0" fillId="0" borderId="0" xfId="0" applyNumberFormat="1"/>
    <xf numFmtId="168" fontId="0" fillId="0" borderId="0" xfId="0" applyNumberFormat="1"/>
    <xf numFmtId="2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0" fillId="2" borderId="84" xfId="0" applyNumberFormat="1" applyFill="1" applyBorder="1" applyAlignment="1" applyProtection="1">
      <alignment horizontal="center"/>
      <protection locked="0"/>
    </xf>
    <xf numFmtId="0" fontId="0" fillId="2" borderId="84" xfId="0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0" fillId="2" borderId="44" xfId="0" applyFill="1" applyBorder="1" applyAlignment="1" applyProtection="1">
      <alignment horizontal="center"/>
      <protection locked="0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0" fillId="2" borderId="84" xfId="0" applyFill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>
      <alignment horizontal="center"/>
    </xf>
    <xf numFmtId="0" fontId="0" fillId="0" borderId="26" xfId="0" applyBorder="1"/>
    <xf numFmtId="0" fontId="0" fillId="0" borderId="84" xfId="0" applyBorder="1" applyAlignment="1">
      <alignment horizontal="center"/>
    </xf>
    <xf numFmtId="0" fontId="0" fillId="0" borderId="82" xfId="0" applyBorder="1"/>
    <xf numFmtId="10" fontId="0" fillId="0" borderId="36" xfId="0" applyNumberFormat="1" applyBorder="1" applyAlignment="1">
      <alignment horizontal="center"/>
    </xf>
    <xf numFmtId="0" fontId="0" fillId="0" borderId="83" xfId="0" applyBorder="1"/>
    <xf numFmtId="0" fontId="0" fillId="0" borderId="26" xfId="0" quotePrefix="1" applyBorder="1"/>
    <xf numFmtId="0" fontId="15" fillId="0" borderId="30" xfId="0" quotePrefix="1" applyFont="1" applyBorder="1"/>
    <xf numFmtId="166" fontId="15" fillId="0" borderId="30" xfId="0" applyNumberFormat="1" applyFont="1" applyBorder="1"/>
    <xf numFmtId="0" fontId="16" fillId="0" borderId="82" xfId="0" quotePrefix="1" applyFont="1" applyBorder="1" applyAlignment="1">
      <alignment vertical="center" wrapText="1"/>
    </xf>
    <xf numFmtId="0" fontId="16" fillId="0" borderId="33" xfId="0" applyFont="1" applyBorder="1" applyAlignment="1">
      <alignment vertical="center" wrapText="1"/>
    </xf>
    <xf numFmtId="0" fontId="15" fillId="0" borderId="70" xfId="0" applyFont="1" applyBorder="1"/>
    <xf numFmtId="166" fontId="15" fillId="0" borderId="70" xfId="0" applyNumberFormat="1" applyFont="1" applyBorder="1"/>
    <xf numFmtId="0" fontId="14" fillId="0" borderId="0" xfId="0" applyFont="1" applyAlignment="1">
      <alignment horizontal="center" wrapText="1"/>
    </xf>
    <xf numFmtId="0" fontId="0" fillId="0" borderId="85" xfId="0" quotePrefix="1" applyBorder="1"/>
    <xf numFmtId="0" fontId="0" fillId="0" borderId="86" xfId="0" applyBorder="1"/>
    <xf numFmtId="0" fontId="0" fillId="0" borderId="25" xfId="0" applyBorder="1"/>
    <xf numFmtId="0" fontId="0" fillId="0" borderId="77" xfId="0" applyBorder="1"/>
    <xf numFmtId="0" fontId="0" fillId="0" borderId="47" xfId="0" quotePrefix="1" applyBorder="1"/>
    <xf numFmtId="0" fontId="0" fillId="0" borderId="78" xfId="0" quotePrefix="1" applyBorder="1"/>
    <xf numFmtId="0" fontId="0" fillId="0" borderId="79" xfId="0" applyBorder="1"/>
    <xf numFmtId="0" fontId="0" fillId="0" borderId="80" xfId="0" applyBorder="1"/>
    <xf numFmtId="0" fontId="0" fillId="0" borderId="47" xfId="0" applyBorder="1"/>
    <xf numFmtId="0" fontId="0" fillId="0" borderId="86" xfId="0" applyBorder="1" applyAlignment="1">
      <alignment horizontal="right"/>
    </xf>
    <xf numFmtId="0" fontId="0" fillId="0" borderId="85" xfId="0" quotePrefix="1" applyBorder="1" applyAlignment="1">
      <alignment horizontal="left" indent="1"/>
    </xf>
    <xf numFmtId="166" fontId="0" fillId="0" borderId="25" xfId="0" applyNumberFormat="1" applyBorder="1"/>
    <xf numFmtId="0" fontId="0" fillId="0" borderId="47" xfId="0" applyBorder="1" applyAlignment="1">
      <alignment horizontal="left" indent="1"/>
    </xf>
    <xf numFmtId="166" fontId="0" fillId="0" borderId="77" xfId="0" applyNumberFormat="1" applyBorder="1"/>
    <xf numFmtId="10" fontId="0" fillId="0" borderId="79" xfId="0" applyNumberFormat="1" applyBorder="1"/>
    <xf numFmtId="0" fontId="0" fillId="0" borderId="78" xfId="0" applyBorder="1" applyAlignment="1">
      <alignment horizontal="left" indent="1"/>
    </xf>
    <xf numFmtId="166" fontId="0" fillId="0" borderId="86" xfId="0" applyNumberFormat="1" applyBorder="1"/>
    <xf numFmtId="0" fontId="0" fillId="0" borderId="78" xfId="0" applyBorder="1"/>
    <xf numFmtId="166" fontId="0" fillId="0" borderId="79" xfId="0" applyNumberFormat="1" applyBorder="1"/>
    <xf numFmtId="166" fontId="0" fillId="0" borderId="0" xfId="0" applyNumberFormat="1" applyAlignment="1">
      <alignment horizontal="left" indent="1"/>
    </xf>
    <xf numFmtId="166" fontId="0" fillId="0" borderId="77" xfId="0" quotePrefix="1" applyNumberFormat="1" applyBorder="1"/>
    <xf numFmtId="0" fontId="0" fillId="0" borderId="47" xfId="0" applyBorder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right"/>
    </xf>
    <xf numFmtId="166" fontId="0" fillId="0" borderId="79" xfId="0" applyNumberFormat="1" applyBorder="1" applyAlignment="1">
      <alignment horizontal="left" indent="1"/>
    </xf>
    <xf numFmtId="166" fontId="0" fillId="0" borderId="80" xfId="0" applyNumberFormat="1" applyBorder="1"/>
    <xf numFmtId="0" fontId="0" fillId="0" borderId="78" xfId="0" quotePrefix="1" applyBorder="1" applyAlignment="1">
      <alignment horizontal="left" indent="1"/>
    </xf>
    <xf numFmtId="0" fontId="0" fillId="0" borderId="47" xfId="0" quotePrefix="1" applyBorder="1" applyAlignment="1">
      <alignment horizontal="left" indent="1"/>
    </xf>
    <xf numFmtId="2" fontId="0" fillId="0" borderId="77" xfId="0" applyNumberFormat="1" applyBorder="1"/>
    <xf numFmtId="0" fontId="0" fillId="0" borderId="84" xfId="0" applyBorder="1"/>
    <xf numFmtId="0" fontId="0" fillId="2" borderId="84" xfId="0" applyFill="1" applyBorder="1" applyProtection="1">
      <protection locked="0"/>
    </xf>
    <xf numFmtId="166" fontId="0" fillId="0" borderId="84" xfId="0" applyNumberFormat="1" applyBorder="1"/>
    <xf numFmtId="0" fontId="0" fillId="0" borderId="36" xfId="0" applyBorder="1"/>
    <xf numFmtId="166" fontId="0" fillId="0" borderId="36" xfId="0" applyNumberFormat="1" applyBorder="1"/>
    <xf numFmtId="9" fontId="0" fillId="0" borderId="0" xfId="0" applyNumberFormat="1"/>
    <xf numFmtId="0" fontId="22" fillId="0" borderId="30" xfId="0" applyFont="1" applyBorder="1" applyAlignment="1">
      <alignment horizontal="left" vertical="center" wrapText="1"/>
    </xf>
    <xf numFmtId="0" fontId="17" fillId="2" borderId="71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0" fillId="0" borderId="7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2" fontId="0" fillId="12" borderId="0" xfId="0" applyNumberFormat="1" applyFill="1"/>
    <xf numFmtId="0" fontId="0" fillId="12" borderId="0" xfId="0" applyFill="1"/>
    <xf numFmtId="0" fontId="5" fillId="12" borderId="0" xfId="0" applyFont="1" applyFill="1"/>
    <xf numFmtId="0" fontId="0" fillId="13" borderId="0" xfId="0" applyFill="1"/>
    <xf numFmtId="0" fontId="21" fillId="0" borderId="81" xfId="0" applyFont="1" applyBorder="1" applyAlignment="1">
      <alignment horizontal="center"/>
    </xf>
    <xf numFmtId="0" fontId="21" fillId="0" borderId="71" xfId="0" applyFont="1" applyBorder="1" applyAlignment="1">
      <alignment horizontal="center"/>
    </xf>
    <xf numFmtId="0" fontId="17" fillId="0" borderId="81" xfId="0" applyFont="1" applyBorder="1" applyAlignment="1">
      <alignment horizontal="center"/>
    </xf>
    <xf numFmtId="0" fontId="17" fillId="0" borderId="71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4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5" fillId="0" borderId="0" xfId="0" quotePrefix="1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4" fillId="0" borderId="81" xfId="0" quotePrefix="1" applyFont="1" applyBorder="1" applyAlignment="1">
      <alignment horizontal="left" vertical="center" wrapText="1"/>
    </xf>
    <xf numFmtId="0" fontId="14" fillId="0" borderId="70" xfId="0" applyFont="1" applyBorder="1" applyAlignment="1">
      <alignment horizontal="left" vertical="center" wrapText="1"/>
    </xf>
    <xf numFmtId="0" fontId="14" fillId="0" borderId="71" xfId="0" applyFont="1" applyBorder="1" applyAlignment="1">
      <alignment horizontal="left" vertical="center" wrapText="1"/>
    </xf>
    <xf numFmtId="0" fontId="14" fillId="0" borderId="81" xfId="0" applyFont="1" applyBorder="1" applyAlignment="1">
      <alignment horizontal="left" vertical="center" wrapText="1"/>
    </xf>
    <xf numFmtId="0" fontId="0" fillId="0" borderId="47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17" fillId="0" borderId="30" xfId="0" applyFont="1" applyBorder="1" applyAlignment="1">
      <alignment horizontal="center"/>
    </xf>
    <xf numFmtId="0" fontId="19" fillId="0" borderId="47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77" xfId="0" applyFont="1" applyBorder="1" applyAlignment="1">
      <alignment horizontal="center" wrapText="1"/>
    </xf>
    <xf numFmtId="0" fontId="19" fillId="0" borderId="78" xfId="0" applyFont="1" applyBorder="1" applyAlignment="1">
      <alignment horizontal="center" wrapText="1"/>
    </xf>
    <xf numFmtId="0" fontId="19" fillId="0" borderId="79" xfId="0" applyFont="1" applyBorder="1" applyAlignment="1">
      <alignment horizontal="center" wrapText="1"/>
    </xf>
    <xf numFmtId="0" fontId="19" fillId="0" borderId="80" xfId="0" applyFont="1" applyBorder="1" applyAlignment="1">
      <alignment horizontal="center" wrapText="1"/>
    </xf>
    <xf numFmtId="0" fontId="0" fillId="0" borderId="47" xfId="0" quotePrefix="1" applyBorder="1" applyAlignment="1">
      <alignment horizontal="center" wrapText="1"/>
    </xf>
    <xf numFmtId="0" fontId="0" fillId="0" borderId="0" xfId="0" quotePrefix="1" applyAlignment="1">
      <alignment horizontal="center" wrapText="1"/>
    </xf>
    <xf numFmtId="0" fontId="0" fillId="0" borderId="77" xfId="0" quotePrefix="1" applyBorder="1" applyAlignment="1">
      <alignment horizontal="center" wrapText="1"/>
    </xf>
    <xf numFmtId="0" fontId="0" fillId="0" borderId="4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7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40" xfId="0" applyNumberFormat="1" applyBorder="1" applyAlignment="1">
      <alignment horizontal="center" wrapText="1"/>
    </xf>
    <xf numFmtId="49" fontId="0" fillId="0" borderId="18" xfId="0" applyNumberFormat="1" applyBorder="1" applyAlignment="1">
      <alignment horizontal="center" wrapText="1"/>
    </xf>
    <xf numFmtId="166" fontId="0" fillId="0" borderId="40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0" fillId="10" borderId="1" xfId="0" applyFill="1" applyBorder="1" applyAlignment="1" applyProtection="1">
      <alignment horizontal="center"/>
      <protection locked="0"/>
    </xf>
    <xf numFmtId="4" fontId="0" fillId="0" borderId="0" xfId="0" applyNumberFormat="1" applyAlignment="1">
      <alignment horizontal="center" wrapText="1"/>
    </xf>
    <xf numFmtId="49" fontId="0" fillId="0" borderId="40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quotePrefix="1" applyAlignment="1">
      <alignment horizontal="left" vertical="top" wrapText="1"/>
    </xf>
    <xf numFmtId="0" fontId="0" fillId="3" borderId="60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1" fillId="3" borderId="3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0" fillId="3" borderId="38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0" fillId="3" borderId="48" xfId="0" applyFont="1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8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2" fontId="12" fillId="0" borderId="0" xfId="0" applyNumberFormat="1" applyFont="1" applyAlignment="1">
      <alignment horizontal="center"/>
    </xf>
    <xf numFmtId="0" fontId="10" fillId="3" borderId="27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left"/>
    </xf>
    <xf numFmtId="2" fontId="13" fillId="0" borderId="48" xfId="0" quotePrefix="1" applyNumberFormat="1" applyFont="1" applyBorder="1" applyAlignment="1">
      <alignment horizontal="center"/>
    </xf>
    <xf numFmtId="2" fontId="13" fillId="0" borderId="49" xfId="0" quotePrefix="1" applyNumberFormat="1" applyFont="1" applyBorder="1" applyAlignment="1">
      <alignment horizontal="center"/>
    </xf>
    <xf numFmtId="2" fontId="13" fillId="0" borderId="50" xfId="0" quotePrefix="1" applyNumberFormat="1" applyFont="1" applyBorder="1" applyAlignment="1">
      <alignment horizontal="center"/>
    </xf>
    <xf numFmtId="2" fontId="13" fillId="0" borderId="51" xfId="0" quotePrefix="1" applyNumberFormat="1" applyFont="1" applyBorder="1" applyAlignment="1">
      <alignment horizontal="center"/>
    </xf>
    <xf numFmtId="2" fontId="13" fillId="0" borderId="52" xfId="0" quotePrefix="1" applyNumberFormat="1" applyFont="1" applyBorder="1" applyAlignment="1">
      <alignment horizontal="center"/>
    </xf>
    <xf numFmtId="2" fontId="13" fillId="0" borderId="53" xfId="0" quotePrefix="1" applyNumberFormat="1" applyFont="1" applyBorder="1" applyAlignment="1">
      <alignment horizontal="center"/>
    </xf>
    <xf numFmtId="2" fontId="1" fillId="0" borderId="66" xfId="0" applyNumberFormat="1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0" fillId="3" borderId="69" xfId="0" applyFill="1" applyBorder="1" applyAlignment="1">
      <alignment horizontal="center"/>
    </xf>
    <xf numFmtId="0" fontId="0" fillId="3" borderId="70" xfId="0" applyFill="1" applyBorder="1" applyAlignment="1">
      <alignment horizontal="center"/>
    </xf>
    <xf numFmtId="0" fontId="0" fillId="3" borderId="71" xfId="0" applyFill="1" applyBorder="1" applyAlignment="1">
      <alignment horizontal="center"/>
    </xf>
    <xf numFmtId="2" fontId="0" fillId="0" borderId="28" xfId="0" quotePrefix="1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9" borderId="51" xfId="0" applyFont="1" applyFill="1" applyBorder="1" applyAlignment="1">
      <alignment horizontal="center"/>
    </xf>
    <xf numFmtId="0" fontId="2" fillId="9" borderId="5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7" xfId="0" quotePrefix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2" fontId="1" fillId="0" borderId="0" xfId="1" applyNumberFormat="1" applyFont="1" applyFill="1" applyBorder="1" applyAlignment="1">
      <alignment horizontal="center"/>
    </xf>
    <xf numFmtId="2" fontId="1" fillId="0" borderId="47" xfId="1" applyNumberFormat="1" applyFont="1" applyFill="1" applyBorder="1" applyAlignment="1">
      <alignment horizontal="center"/>
    </xf>
    <xf numFmtId="0" fontId="0" fillId="3" borderId="30" xfId="0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78ED-48F3-49FD-B92C-0C1458745DD2}">
  <sheetPr>
    <pageSetUpPr fitToPage="1"/>
  </sheetPr>
  <dimension ref="A1:FD116"/>
  <sheetViews>
    <sheetView tabSelected="1" zoomScaleNormal="100" workbookViewId="0">
      <selection activeCell="B1" sqref="B1"/>
    </sheetView>
  </sheetViews>
  <sheetFormatPr defaultRowHeight="15" x14ac:dyDescent="0.25"/>
  <cols>
    <col min="1" max="1" width="88" customWidth="1"/>
    <col min="2" max="2" width="71.7109375" bestFit="1" customWidth="1"/>
    <col min="3" max="3" width="12.85546875" customWidth="1"/>
    <col min="4" max="4" width="13.28515625" bestFit="1" customWidth="1"/>
    <col min="5" max="5" width="46.7109375" customWidth="1"/>
    <col min="6" max="6" width="29.85546875" customWidth="1"/>
    <col min="7" max="155" width="8.85546875" customWidth="1"/>
    <col min="156" max="156" width="15.7109375" hidden="1" customWidth="1"/>
    <col min="157" max="157" width="31.28515625" customWidth="1"/>
    <col min="158" max="158" width="14.7109375" bestFit="1" customWidth="1"/>
    <col min="159" max="159" width="38" customWidth="1"/>
    <col min="160" max="160" width="10.42578125" bestFit="1" customWidth="1"/>
  </cols>
  <sheetData>
    <row r="1" spans="1:156" ht="42.75" thickBot="1" x14ac:dyDescent="0.4">
      <c r="A1" s="223" t="s">
        <v>339</v>
      </c>
      <c r="B1" s="224"/>
      <c r="EZ1" s="174">
        <f ca="1">IF(BV!Z2&lt;BV!Z1,B1,"")</f>
        <v>0</v>
      </c>
    </row>
    <row r="2" spans="1:156" ht="47.25" thickBot="1" x14ac:dyDescent="0.75">
      <c r="A2" s="236" t="str">
        <f ca="1">IF(BV!Z2&gt;BV!Z1,"Version expired, please download the latest version!",IF($EZ$1="","",(IF($EZ$1="Nederlands","Simulatiemodule NAVAP",(IF($EZ$1="Français","Module de simulation NAPAP",""))))))</f>
        <v/>
      </c>
      <c r="B2" s="237"/>
    </row>
    <row r="3" spans="1:156" ht="19.149999999999999" customHeight="1" thickBot="1" x14ac:dyDescent="0.4">
      <c r="A3" s="238" t="str">
        <f ca="1">IF($EZ$1="","",(IF($EZ$1="Nederlands","BASISGEGEVENS",(IF($EZ$1="Français","DONNEES DE BASE","")))))</f>
        <v/>
      </c>
      <c r="B3" s="239"/>
    </row>
    <row r="4" spans="1:156" x14ac:dyDescent="0.25">
      <c r="A4" s="175" t="str">
        <f ca="1">IF($EZ$1="","",(IF($EZ$1="Nederlands","Simulatie voor",(IF($EZ$1="Français","Simulation pour","")))))</f>
        <v/>
      </c>
      <c r="B4" s="167"/>
      <c r="C4" t="s">
        <v>132</v>
      </c>
      <c r="D4" t="e">
        <f>index</f>
        <v>#N/A</v>
      </c>
    </row>
    <row r="5" spans="1:156" ht="14.45" customHeight="1" x14ac:dyDescent="0.25">
      <c r="A5" s="175" t="str">
        <f ca="1">IF($EZ$1="","",(IF($EZ$1="Nederlands","Statutair of contractueel?",(IF($EZ$1="Français","Statutaire ou contractuel(le)?","")))))</f>
        <v/>
      </c>
      <c r="B5" s="176" t="str">
        <f>IF(B1="Français","Statutaire","Statutair")</f>
        <v>Statutair</v>
      </c>
    </row>
    <row r="6" spans="1:156" ht="14.45" customHeight="1" x14ac:dyDescent="0.25">
      <c r="A6" s="175" t="str">
        <f ca="1">IF($EZ$1="","",(IF($EZ$1="Nederlands","Loonschaal",(IF($EZ$1="Français","Echelle de traitement","")))))</f>
        <v/>
      </c>
      <c r="B6" s="168"/>
      <c r="C6" s="225" t="str">
        <f ca="1">IF(AND($EZ$1="Nederlands",B6=""),"Verplicht veld",(IF(AND($EZ$1="Français",B6=""),"Champ obligatoire","")))</f>
        <v/>
      </c>
    </row>
    <row r="7" spans="1:156" ht="14.45" customHeight="1" x14ac:dyDescent="0.25">
      <c r="A7" s="175" t="str">
        <f ca="1">IF($EZ$1="","",(IF($EZ$1="Nederlands","Geldelijke anciënniteit",(IF($EZ$1="Français","Ancienneté pécuniaire","")))))</f>
        <v/>
      </c>
      <c r="B7" s="167"/>
      <c r="C7" s="225" t="str">
        <f ca="1">IF(AND($EZ$1="Nederlands",B7=""),"Verplicht veld",(IF(AND($EZ$1="Français",B7=""),"Champ obligatoire","")))</f>
        <v/>
      </c>
      <c r="D7">
        <f>IF(B7="",0,BBSZ!C4)</f>
        <v>0</v>
      </c>
      <c r="E7" t="str">
        <f ca="1">IF($EZ$1="","",(IF($EZ$1="Nederlands","trap",(IF($EZ$1="Français","Echelon","")))))</f>
        <v/>
      </c>
    </row>
    <row r="8" spans="1:156" x14ac:dyDescent="0.25">
      <c r="A8" s="175" t="str">
        <f ca="1">IF($EZ$1="","",(IF($EZ$1="Nederlands","Jaarwedde",(IF($EZ$1="Français","Base annuelle","")))))</f>
        <v/>
      </c>
      <c r="B8" s="173" t="e">
        <f>INDEX(Loonschalen!B$3:DP$34,(MATCH(D7,Loonschalen!$A$3:$A$34,0)),(MATCH(B6,Loonschalen!$B$2:$BK$2,0)))</f>
        <v>#N/A</v>
      </c>
      <c r="D8" t="e">
        <f>'SIMUL SSGPI'!H3</f>
        <v>#N/A</v>
      </c>
    </row>
    <row r="9" spans="1:156" x14ac:dyDescent="0.25">
      <c r="A9" s="175"/>
      <c r="B9" s="176"/>
    </row>
    <row r="10" spans="1:156" x14ac:dyDescent="0.25">
      <c r="A10" s="175" t="str">
        <f ca="1">IF($EZ$1="","",(IF($EZ$1="Nederlands","Aantal dienstjaren",(IF($EZ$1="Français","Nombre d'années de service","")))))</f>
        <v/>
      </c>
      <c r="B10" s="168"/>
      <c r="C10" s="225" t="str">
        <f ca="1">IF(AND($EZ$1="Nederlands",B10=""),"Verplicht veld",(IF(AND($EZ$1="Français",B10=""),"Champ obligatoire","")))</f>
        <v/>
      </c>
      <c r="D10" s="1" t="e">
        <f ca="1">VLOOKUP(B10,Gegevenslijsten!A44:B47,2,FALSE)</f>
        <v>#N/A</v>
      </c>
    </row>
    <row r="11" spans="1:156" ht="15.75" thickBot="1" x14ac:dyDescent="0.3">
      <c r="A11" s="177" t="str">
        <f ca="1">IF($EZ$1="","",(IF($EZ$1="Nederlands","Uitbetalingspercentage",(IF($EZ$1="Français","Pourcentage de paiement","")))))</f>
        <v/>
      </c>
      <c r="B11" s="178" t="e">
        <f ca="1">D10</f>
        <v>#N/A</v>
      </c>
    </row>
    <row r="13" spans="1:156" ht="15.75" thickBot="1" x14ac:dyDescent="0.3"/>
    <row r="14" spans="1:156" ht="21.75" thickBot="1" x14ac:dyDescent="0.4">
      <c r="A14" s="238" t="str">
        <f ca="1">IF($EZ$1="","",(IF($EZ$1="Nederlands","FISCALE TOESTAND",(IF($EZ$1="Français","SITUATION FISCALE","")))))</f>
        <v/>
      </c>
      <c r="B14" s="239"/>
    </row>
    <row r="15" spans="1:156" x14ac:dyDescent="0.25">
      <c r="A15" s="179" t="str">
        <f ca="1">IF($EZ$1="","",(IF($EZ$1="Nederlands","U bent",(IF($EZ$1="Français","Vous êtes","")))))</f>
        <v/>
      </c>
      <c r="B15" s="170"/>
      <c r="C15" s="225" t="str">
        <f ca="1">IF(AND($EZ$1="Nederlands",B15=""),"Verplicht veld",(IF(AND($EZ$1="Français",B15=""),"Champ obligatoire","")))</f>
        <v/>
      </c>
    </row>
    <row r="16" spans="1:156" x14ac:dyDescent="0.25">
      <c r="A16" s="175" t="str">
        <f ca="1">IF($EZ$1="","",(IF($EZ$1="Nederlands","Bent u mindervalide",(IF($EZ$1="Français","Etes-vous handicapé(e)","")))))</f>
        <v/>
      </c>
      <c r="B16" s="168"/>
      <c r="C16" s="225" t="str">
        <f ca="1">IF(AND($EZ$1="Nederlands",B16=""),"Verplicht veld",(IF(AND($EZ$1="Français",B16=""),"Champ obligatoire","")))</f>
        <v/>
      </c>
    </row>
    <row r="17" spans="1:5" x14ac:dyDescent="0.25">
      <c r="A17" s="175" t="e">
        <f ca="1">IF(AND(BV!M1&lt;3,$EZ$1="Nederlands"),"Inkomsten partner:",(IF(AND(BV!M1&lt;3,$EZ$1="Français"),"Revenus du/de la partenaire","")))</f>
        <v>#N/A</v>
      </c>
      <c r="B17" s="168"/>
      <c r="C17" s="225" t="e">
        <f ca="1">IF(AND(BV!M1&lt;3,$EZ$1="Nederlands",B17=""),"Verplicht veld",(IF(AND(BV!M1&lt;3,$EZ$1="Français",B65=""),"Champ obligatoire","")))</f>
        <v>#N/A</v>
      </c>
      <c r="E17" t="e">
        <f ca="1">BV!C3</f>
        <v>#N/A</v>
      </c>
    </row>
    <row r="18" spans="1:5" x14ac:dyDescent="0.25">
      <c r="A18" s="175" t="e">
        <f ca="1">IF(AND(BV!M1&lt;3,$EZ$1="Nederlands"),"Is uw partner mindervalide?",(IF(AND(BV!M1&lt;3,$EZ$1="Français"),"Votre partenaire est-il (elle) handicapé(e)?","")))</f>
        <v>#N/A</v>
      </c>
      <c r="B18" s="168"/>
      <c r="C18" s="225" t="e">
        <f ca="1">IF(AND(BV!M1&lt;3,$EZ$1="Nederlands",B18=""),"Verplicht veld",(IF(AND(BV!M1&lt;3,$EZ$1="Français",B66=""),"Champ obligatoire","")))</f>
        <v>#N/A</v>
      </c>
      <c r="E18" t="e">
        <f ca="1">BV!C4</f>
        <v>#N/A</v>
      </c>
    </row>
    <row r="19" spans="1:5" x14ac:dyDescent="0.25">
      <c r="A19" s="175" t="str">
        <f ca="1">IF($EZ$1="","",(IF($EZ$1="Nederlands","Hoeveel kinderen heeft u ten laste?",(IF($EZ$1="Français","Combien d'enfants avez-vous à charge?","")))))</f>
        <v/>
      </c>
      <c r="B19" s="168">
        <v>0</v>
      </c>
    </row>
    <row r="20" spans="1:5" x14ac:dyDescent="0.25">
      <c r="A20" s="175" t="str">
        <f ca="1">IF($EZ$1="","",(IF($EZ$1="Nederlands","Hoeveel van deze kinderen zijn mindervalide?",(IF($EZ$1="Français","Combien de ces enfants sont handicapés?","")))))</f>
        <v/>
      </c>
      <c r="B20" s="168">
        <v>0</v>
      </c>
    </row>
    <row r="21" spans="1:5" x14ac:dyDescent="0.25">
      <c r="A21" s="175" t="str">
        <f ca="1">IF($EZ$1="","",(IF($EZ$1="Nederlands","Hoeveel zorgbehoevende personen ouder dan 66 jaar heeft u ten laste?",(IF($EZ$1="Français","Combien de personnes de plus de 66 ans en situation de dépendance avez-vous à charge?","")))))</f>
        <v/>
      </c>
      <c r="B21" s="168">
        <v>0</v>
      </c>
    </row>
    <row r="22" spans="1:5" x14ac:dyDescent="0.25">
      <c r="A22" s="180" t="str">
        <f ca="1">IF($EZ$1="","",(IF($EZ$1="Nederlands","Hoeveel andere personen heeft u ten laste?",(IF($EZ$1="Français","Combien d'autres personnes avez-vous à charge?","")))))</f>
        <v/>
      </c>
      <c r="B22" s="168">
        <v>0</v>
      </c>
    </row>
    <row r="23" spans="1:5" ht="15.75" thickBot="1" x14ac:dyDescent="0.3">
      <c r="A23" s="177" t="str">
        <f ca="1">IF($EZ$1="","",(IF($EZ$1="Nederlands","Hoeveel van deze andere personen zijn mindervalide?",(IF($EZ$1="Français","Combien de ces autres personnes sont handicapées?","")))))</f>
        <v/>
      </c>
      <c r="B23" s="169">
        <v>0</v>
      </c>
    </row>
    <row r="24" spans="1:5" ht="15.75" thickBot="1" x14ac:dyDescent="0.3"/>
    <row r="25" spans="1:5" ht="46.9" customHeight="1" thickBot="1" x14ac:dyDescent="0.75">
      <c r="A25" s="181" t="str">
        <f ca="1">IF($EZ$1="","",(IF($EZ$1="Nederlands","Nettowedde:",(IF($EZ$1="Français","Salaire net:","")))))</f>
        <v/>
      </c>
      <c r="B25" s="182" t="e">
        <f ca="1">'SIMUL SSGPI'!B37</f>
        <v>#N/A</v>
      </c>
      <c r="C25" s="183"/>
      <c r="D25" s="184"/>
      <c r="E25" s="184"/>
    </row>
    <row r="26" spans="1:5" ht="46.9" customHeight="1" thickBot="1" x14ac:dyDescent="0.75">
      <c r="A26" s="181" t="str">
        <f ca="1">IF($EZ$1="","",(IF($EZ$1="Nederlands","Netto vakantiegeld:",(IF($EZ$1="Français","Pécule de vacances net:","")))))</f>
        <v/>
      </c>
      <c r="B26" s="182" t="e">
        <f ca="1">Jaartoelagen!C20</f>
        <v>#N/A</v>
      </c>
      <c r="C26" s="248" t="str">
        <f ca="1">IF($EZ$1="","",(IF($EZ$1="Nederlands","Op basis van een volledig jaar tewerkstelling in bovenvermeld stelsel",(IF($EZ$1="Français","Sur base d'une mise au travail d'une année complète dans le régime mentionné ci-dessus","")))))</f>
        <v/>
      </c>
      <c r="D26" s="249"/>
      <c r="E26" s="250"/>
    </row>
    <row r="27" spans="1:5" ht="47.25" thickBot="1" x14ac:dyDescent="0.75">
      <c r="A27" s="181" t="str">
        <f ca="1">IF($EZ$1="","",(IF($EZ$1="Nederlands","Netto eindejaarstoelage:",(IF($EZ$1="Français","Allocation de fin d'année nette:","")))))</f>
        <v/>
      </c>
      <c r="B27" s="182" t="e">
        <f ca="1">IF(B5="contractueel",Jaartoelagen!W20,Jaartoelagen!U20)</f>
        <v>#N/A</v>
      </c>
      <c r="C27" s="251"/>
      <c r="D27" s="249"/>
      <c r="E27" s="250"/>
    </row>
    <row r="28" spans="1:5" ht="17.45" customHeight="1" thickBot="1" x14ac:dyDescent="0.75">
      <c r="A28" s="185"/>
      <c r="B28" s="186"/>
      <c r="C28" s="187"/>
      <c r="D28" s="187"/>
    </row>
    <row r="30" spans="1:5" ht="87.6" customHeight="1" x14ac:dyDescent="0.7">
      <c r="A30" s="246" t="str">
        <f ca="1">IF($EZ$1="","",(IF($EZ$1="Nederlands","Om uw simulatie af te drukken, ga naar bestand =&gt; afdrukken",(IF($EZ$1="Français","Pour imprimer la simulation, allez dans fichier =&gt; imprimer","")))))</f>
        <v/>
      </c>
      <c r="B30" s="247"/>
    </row>
    <row r="32" spans="1:5" ht="15.75" thickBot="1" x14ac:dyDescent="0.3"/>
    <row r="33" spans="1:4" ht="21.75" thickBot="1" x14ac:dyDescent="0.4">
      <c r="A33" s="254" t="str">
        <f ca="1">IF($EZ$1="","",(IF($EZ$1="Nederlands","PATRONALE KOST",(IF($EZ$1="Français","COÛT PATRONAL","")))))</f>
        <v/>
      </c>
      <c r="B33" s="254"/>
    </row>
    <row r="34" spans="1:4" x14ac:dyDescent="0.25">
      <c r="A34" s="217" t="str">
        <f ca="1">IF($EZ$1="","",(IF($EZ$1="Nederlands","Wenst u de patronale kost te berekenen? ",(IF($EZ$1="Français","Souhaitez-vous calculer le coût patronal ?","")))))</f>
        <v/>
      </c>
      <c r="B34" s="218"/>
    </row>
    <row r="35" spans="1:4" x14ac:dyDescent="0.25">
      <c r="A35" s="217" t="str">
        <f>IF(OR(B34="ja",B34="oui"),(IF($EZ$1="","",(IF($EZ$1="Nederlands","Waar werkt uw personeelslid? ",(IF($EZ$1="Français","Où travaille votre membre du personnel ?","")))))),"")</f>
        <v/>
      </c>
      <c r="B35" s="218"/>
    </row>
    <row r="36" spans="1:4" x14ac:dyDescent="0.25">
      <c r="A36" s="217" t="str">
        <f>IF(AND(B1="nederlands",B34="ja",(OR(B35="federale politie",B35="lokale politie"))),"Patronale ZIV-bijdrage:",(IF(AND(B1="français",B34="oui",(OR(B35="police fédérale",B35="police locale"))),"Cotisation AMI patronale:","")))</f>
        <v/>
      </c>
      <c r="B36" s="219" t="str">
        <f>IF(OR(AND(B34="ja",(OR(B35="federale politie",B35="lokale politie"))),(AND(B34="oui",(OR(B35="police fédérale",B35="police locale"))))),'SIMUL SSGPI'!F19,"")</f>
        <v/>
      </c>
      <c r="D36" s="162" t="str">
        <f>B36</f>
        <v/>
      </c>
    </row>
    <row r="37" spans="1:4" x14ac:dyDescent="0.25">
      <c r="A37" s="217"/>
      <c r="B37" s="219"/>
    </row>
    <row r="38" spans="1:4" x14ac:dyDescent="0.25">
      <c r="A38" s="217" t="str">
        <f>IF(AND(B$1="nederlands",B$5="statutair",B$35="lokale politie"),"Patronale bijdrage sociale dienst:",(IF(AND(B$1="français",B$5="statutaire",B$35="police locale"),"Cotisation patronale service sociale:","")))</f>
        <v/>
      </c>
      <c r="B38" s="219" t="str">
        <f>IF(OR(AND(B34="ja",B35="lokale politie"),(AND(B34="oui",B35="police locale"))),'SIMUL SSGPI'!F20,"")</f>
        <v/>
      </c>
      <c r="D38">
        <f>IF(B38="",0,B38)</f>
        <v>0</v>
      </c>
    </row>
    <row r="39" spans="1:4" ht="15.75" thickBot="1" x14ac:dyDescent="0.3">
      <c r="A39" s="220" t="str">
        <f>IF(AND(B$1="nederlands",B$34="ja"),"Patronale kost maandloon:",(IF(AND(B$1="français",B$34="oui"),"Coût patronal du salaire mensuel:","")))</f>
        <v/>
      </c>
      <c r="B39" s="221" t="e">
        <f>ROUND(IF(OR(B34="ja",B34="oui"),D36+D37+D38+'SIMUL SSGPI'!B19,""),2)</f>
        <v>#VALUE!</v>
      </c>
    </row>
    <row r="68" spans="157:160" ht="61.5" x14ac:dyDescent="0.25">
      <c r="FA68" s="243" t="str">
        <f ca="1">IF($EZ$1="nederlands","Simulatie NAVAP",(IF($EZ$1="français","Simulation NAPAP","")))</f>
        <v/>
      </c>
      <c r="FB68" s="244"/>
      <c r="FC68" s="244"/>
      <c r="FD68" s="245"/>
    </row>
    <row r="69" spans="157:160" x14ac:dyDescent="0.25">
      <c r="FA69" s="240" t="str">
        <f ca="1">FA70</f>
        <v/>
      </c>
      <c r="FB69" s="241"/>
      <c r="FC69" s="241"/>
      <c r="FD69" s="242"/>
    </row>
    <row r="70" spans="157:160" x14ac:dyDescent="0.25">
      <c r="FA70" s="188" t="str">
        <f ca="1">IF($EZ$1="","",(IF($EZ$1="Nederlands","Fiscale toestand",(IF($EZ$1="Français","Situation fiscale","")))))</f>
        <v/>
      </c>
      <c r="FB70" s="189">
        <f>B15</f>
        <v>0</v>
      </c>
      <c r="FC70" s="198" t="str">
        <f ca="1">IF($EZ$1="","",(IF($EZ$1="Nederlands","Simulatie als",(IF($EZ$1="Français","Simulation comme","")))))</f>
        <v/>
      </c>
      <c r="FD70" s="190" t="str">
        <f>B5</f>
        <v>Statutair</v>
      </c>
    </row>
    <row r="71" spans="157:160" x14ac:dyDescent="0.25">
      <c r="FA71" s="252" t="str">
        <f>IF(B17="","",B17)</f>
        <v/>
      </c>
      <c r="FB71" s="253"/>
      <c r="FC71" s="215" t="str">
        <f ca="1">IF($EZ$1="","",(IF($EZ$1="Nederlands","U bent MV",(IF($EZ$1="Français","Vous êtes handicapé(e)","")))))</f>
        <v/>
      </c>
      <c r="FD71" s="191">
        <f>B16</f>
        <v>0</v>
      </c>
    </row>
    <row r="72" spans="157:160" x14ac:dyDescent="0.25">
      <c r="FA72" s="252"/>
      <c r="FB72" s="253"/>
      <c r="FC72" s="215" t="str">
        <f ca="1">IF($EZ$1="","",(IF($EZ$1="Nederlands","Uw partner is MV",(IF($EZ$1="Français","Partenaire handicapé(e)","")))))</f>
        <v/>
      </c>
      <c r="FD72" s="191">
        <f>B18</f>
        <v>0</v>
      </c>
    </row>
    <row r="73" spans="157:160" x14ac:dyDescent="0.25">
      <c r="FA73" s="192" t="str">
        <f ca="1">IF($EZ$1="","",(IF($EZ$1="Nederlands","Kinderen ten laste",(IF($EZ$1="Français","Enfants à charge","")))))</f>
        <v/>
      </c>
      <c r="FB73">
        <f>B19</f>
        <v>0</v>
      </c>
      <c r="FC73" s="215" t="str">
        <f ca="1">IF($EZ$1="","",(IF($EZ$1="Nederlands","MV Kinderen",(IF($EZ$1="Français","Enfants handicapés","")))))</f>
        <v/>
      </c>
      <c r="FD73" s="191">
        <f>B20</f>
        <v>0</v>
      </c>
    </row>
    <row r="74" spans="157:160" x14ac:dyDescent="0.25">
      <c r="FA74" s="192" t="str">
        <f ca="1">IF($EZ$1="","",(IF($EZ$1="Nederlands","Andere personen ten laste",(IF($EZ$1="Français","Autres personnes à charge","")))))</f>
        <v/>
      </c>
      <c r="FB74">
        <f>B22-FD74</f>
        <v>0</v>
      </c>
      <c r="FC74" s="215" t="str">
        <f ca="1">IF($EZ$1="","",(IF($EZ$1="Nederlands","Andere MV personen",(IF($EZ$1="Français","Autres personnes handicapées","")))))</f>
        <v/>
      </c>
      <c r="FD74" s="191">
        <f>B23</f>
        <v>0</v>
      </c>
    </row>
    <row r="75" spans="157:160" x14ac:dyDescent="0.25">
      <c r="FA75" s="192"/>
      <c r="FC75" s="215"/>
      <c r="FD75" s="191"/>
    </row>
    <row r="76" spans="157:160" x14ac:dyDescent="0.25">
      <c r="FA76" s="193"/>
      <c r="FB76" s="194"/>
      <c r="FC76" s="214" t="str">
        <f ca="1">IF($EZ$1="","",(IF($EZ$1="Nederlands","Andere zorgbehoevende personen +66j",(IF($EZ$1="Français","Autres pers. +66 ans en sit. dépendance","")))))</f>
        <v/>
      </c>
      <c r="FD76" s="195">
        <f>B21</f>
        <v>0</v>
      </c>
    </row>
    <row r="77" spans="157:160" x14ac:dyDescent="0.25">
      <c r="FA77" s="196"/>
      <c r="FD77" s="191"/>
    </row>
    <row r="78" spans="157:160" x14ac:dyDescent="0.25">
      <c r="FA78" s="240" t="str">
        <f ca="1">IF($EZ$1="nederlands","BASISGEGEVENS",(IF($EZ$1="français","DONNEES DE BASE","")))</f>
        <v/>
      </c>
      <c r="FB78" s="241"/>
      <c r="FC78" s="241"/>
      <c r="FD78" s="242"/>
    </row>
    <row r="79" spans="157:160" x14ac:dyDescent="0.25">
      <c r="FA79" s="188" t="str">
        <f ca="1">IF($EZ$1="","",(IF($EZ$1="Nederlands","Loonschaal ",(IF($EZ$1="Français","Echelle de traitement","")))))</f>
        <v/>
      </c>
      <c r="FB79" s="197">
        <f>B6</f>
        <v>0</v>
      </c>
      <c r="FC79" s="198" t="str">
        <f ca="1">IF($EZ$1="","",(IF($EZ$1="Nederlands","Jaarwedde",(IF($EZ$1="Français","Base annuelle","")))))</f>
        <v/>
      </c>
      <c r="FD79" s="199" t="e">
        <f>B8</f>
        <v>#N/A</v>
      </c>
    </row>
    <row r="80" spans="157:160" x14ac:dyDescent="0.25">
      <c r="FA80" s="192" t="str">
        <f ca="1">IF($EZ$1="","",(IF($EZ$1="Nederlands","Loontrap",(IF($EZ$1="Français","Echelon","")))))</f>
        <v/>
      </c>
      <c r="FB80">
        <f>D7</f>
        <v>0</v>
      </c>
      <c r="FC80" s="200"/>
      <c r="FD80" s="201"/>
    </row>
    <row r="81" spans="157:160" x14ac:dyDescent="0.25">
      <c r="FA81" s="193" t="str">
        <f ca="1">IF($EZ$1="","",(IF($EZ$1="Nederlands","NAVAP",(IF($EZ$1="Français","NAPAP","")))))</f>
        <v/>
      </c>
      <c r="FB81" s="202" t="e">
        <f ca="1">B11</f>
        <v>#N/A</v>
      </c>
      <c r="FC81" s="203" t="str">
        <f>C4</f>
        <v>Index</v>
      </c>
      <c r="FD81" s="195" t="e">
        <f>D4</f>
        <v>#N/A</v>
      </c>
    </row>
    <row r="82" spans="157:160" x14ac:dyDescent="0.25">
      <c r="FA82" s="196"/>
      <c r="FD82" s="191"/>
    </row>
    <row r="83" spans="157:160" x14ac:dyDescent="0.25">
      <c r="FA83" s="240" t="str">
        <f ca="1">IF($EZ$1="","",(IF($EZ$1="Nederlands","WEDDE",(IF($EZ$1="Français","TRAITEMENT","")))))</f>
        <v/>
      </c>
      <c r="FB83" s="241"/>
      <c r="FC83" s="241"/>
      <c r="FD83" s="242"/>
    </row>
    <row r="84" spans="157:160" x14ac:dyDescent="0.25">
      <c r="FA84" s="188" t="str">
        <f ca="1">IF($EZ$1="","",(IF($EZ$1="Nederlands","Wedde",(IF($EZ$1="Français","Traitement","")))))</f>
        <v/>
      </c>
      <c r="FB84" s="204" t="e">
        <f ca="1">ROUND('SIMUL SSGPI'!E5,2)</f>
        <v>#N/A</v>
      </c>
      <c r="FC84" s="189"/>
      <c r="FD84" s="190"/>
    </row>
    <row r="85" spans="157:160" x14ac:dyDescent="0.25">
      <c r="FA85" s="196"/>
      <c r="FB85" s="162"/>
      <c r="FD85" s="191"/>
    </row>
    <row r="86" spans="157:160" x14ac:dyDescent="0.25">
      <c r="FA86" s="205"/>
      <c r="FB86" s="206"/>
      <c r="FC86" s="194"/>
      <c r="FD86" s="195"/>
    </row>
    <row r="87" spans="157:160" x14ac:dyDescent="0.25">
      <c r="FA87" s="196"/>
      <c r="FC87" s="162"/>
      <c r="FD87" s="191"/>
    </row>
    <row r="88" spans="157:160" x14ac:dyDescent="0.25">
      <c r="FA88" s="267"/>
      <c r="FB88" s="268"/>
      <c r="FC88" s="268"/>
      <c r="FD88" s="269"/>
    </row>
    <row r="89" spans="157:160" x14ac:dyDescent="0.25">
      <c r="FA89" s="196"/>
      <c r="FB89" s="162"/>
      <c r="FC89" s="207"/>
      <c r="FD89" s="201"/>
    </row>
    <row r="90" spans="157:160" x14ac:dyDescent="0.25">
      <c r="FA90" s="196"/>
      <c r="FB90" s="162"/>
      <c r="FC90" s="162"/>
      <c r="FD90" s="201"/>
    </row>
    <row r="91" spans="157:160" x14ac:dyDescent="0.25">
      <c r="FA91" s="196"/>
      <c r="FB91" s="162"/>
      <c r="FC91" s="207"/>
      <c r="FD91" s="201"/>
    </row>
    <row r="92" spans="157:160" x14ac:dyDescent="0.25">
      <c r="FA92" s="196"/>
      <c r="FB92" s="162"/>
      <c r="FC92" s="207"/>
      <c r="FD92" s="208"/>
    </row>
    <row r="93" spans="157:160" x14ac:dyDescent="0.25">
      <c r="FA93" s="270"/>
      <c r="FB93" s="271"/>
      <c r="FC93" s="271"/>
      <c r="FD93" s="201"/>
    </row>
    <row r="94" spans="157:160" x14ac:dyDescent="0.25">
      <c r="FA94" s="209"/>
      <c r="FB94" s="211"/>
      <c r="FC94" s="210"/>
      <c r="FD94" s="201"/>
    </row>
    <row r="95" spans="157:160" x14ac:dyDescent="0.25">
      <c r="FA95" s="264"/>
      <c r="FB95" s="265"/>
      <c r="FC95" s="265"/>
      <c r="FD95" s="266"/>
    </row>
    <row r="96" spans="157:160" x14ac:dyDescent="0.25">
      <c r="FA96" s="205"/>
      <c r="FB96" s="206"/>
      <c r="FC96" s="212"/>
      <c r="FD96" s="213"/>
    </row>
    <row r="97" spans="157:160" x14ac:dyDescent="0.25">
      <c r="FA97" s="196"/>
      <c r="FC97" s="162"/>
      <c r="FD97" s="191"/>
    </row>
    <row r="98" spans="157:160" x14ac:dyDescent="0.25">
      <c r="FA98" s="192" t="str">
        <f ca="1">IF($EZ$1="","",(IF($EZ$1="Nederlands","Totaal Bruto",(IF($EZ$1="Français","Total brut","")))))</f>
        <v/>
      </c>
      <c r="FB98" s="162" t="e">
        <f ca="1">'SIMUL SSGPI'!B21</f>
        <v>#N/A</v>
      </c>
      <c r="FD98" s="191"/>
    </row>
    <row r="99" spans="157:160" x14ac:dyDescent="0.25">
      <c r="FA99" s="196"/>
      <c r="FB99" s="162"/>
      <c r="FD99" s="191"/>
    </row>
    <row r="100" spans="157:160" x14ac:dyDescent="0.25">
      <c r="FA100" s="196" t="str">
        <f ca="1">IF(AND($EZ$1="nederlands",B5="statutair"),"Inhouding ZIV 3,55%",(IF(AND($EZ$1="français",B5="statutaire"),"Retenue AMI 3,55%","")))</f>
        <v/>
      </c>
      <c r="FB100" s="162" t="e">
        <f ca="1">'SIMUL SSGPI'!B23</f>
        <v>#N/A</v>
      </c>
      <c r="FC100" t="str">
        <f ca="1">IF($EZ$1="nederlands","Basisbedrag:",(IF($EZ$1="français","Montant de base:","")))</f>
        <v/>
      </c>
      <c r="FD100" s="216" t="e">
        <f ca="1">ROUND('SIMUL SSGPI'!B21,2)</f>
        <v>#N/A</v>
      </c>
    </row>
    <row r="101" spans="157:160" x14ac:dyDescent="0.25">
      <c r="FA101" s="196" t="s">
        <v>327</v>
      </c>
      <c r="FB101" s="162"/>
      <c r="FD101" s="191"/>
    </row>
    <row r="102" spans="157:160" x14ac:dyDescent="0.25">
      <c r="FA102" s="196"/>
      <c r="FB102" s="162"/>
      <c r="FD102" s="191"/>
    </row>
    <row r="103" spans="157:160" x14ac:dyDescent="0.25">
      <c r="FA103" s="196"/>
      <c r="FC103" s="162"/>
      <c r="FD103" s="191"/>
    </row>
    <row r="104" spans="157:160" x14ac:dyDescent="0.25">
      <c r="FA104" s="192" t="str">
        <f ca="1">IF($EZ$1="","",(IF($EZ$1="Nederlands","Belastbaar",(IF($EZ$1="Français","Imposable","")))))</f>
        <v/>
      </c>
      <c r="FB104" s="162" t="e">
        <f ca="1">'SIMUL SSGPI'!D31</f>
        <v>#N/A</v>
      </c>
      <c r="FD104" s="191"/>
    </row>
    <row r="105" spans="157:160" x14ac:dyDescent="0.25">
      <c r="FA105" s="192"/>
      <c r="FB105" s="162"/>
      <c r="FD105" s="191"/>
    </row>
    <row r="106" spans="157:160" x14ac:dyDescent="0.25">
      <c r="FA106" s="196" t="str">
        <f ca="1">IF($EZ$1="","",(IF($EZ$1="Nederlands","Bedrijfsvoorheffing",(IF($EZ$1="Français","Précompte professionel","")))))</f>
        <v/>
      </c>
      <c r="FB106" s="162" t="e">
        <f ca="1">'SIMUL SSGPI'!B35</f>
        <v>#N/A</v>
      </c>
      <c r="FD106" s="191"/>
    </row>
    <row r="107" spans="157:160" x14ac:dyDescent="0.25">
      <c r="FA107" s="192"/>
      <c r="FB107" s="162"/>
      <c r="FD107" s="191"/>
    </row>
    <row r="108" spans="157:160" x14ac:dyDescent="0.25">
      <c r="FA108" s="196"/>
      <c r="FD108" s="191"/>
    </row>
    <row r="109" spans="157:160" x14ac:dyDescent="0.25">
      <c r="FA109" s="192" t="str">
        <f ca="1">IF($EZ$1="","",(IF($EZ$1="Nederlands","BBSZ",(IF($EZ$1="Français","CSSS","")))))</f>
        <v/>
      </c>
      <c r="FB109" s="162" t="e">
        <f ca="1">'SIMUL SSGPI'!B29</f>
        <v>#N/A</v>
      </c>
      <c r="FD109" s="191"/>
    </row>
    <row r="110" spans="157:160" x14ac:dyDescent="0.25">
      <c r="FA110" s="192"/>
      <c r="FD110" s="191"/>
    </row>
    <row r="111" spans="157:160" x14ac:dyDescent="0.25">
      <c r="FA111" s="196" t="str">
        <f ca="1">IF($EZ$1="","",(IF($EZ$1="Nederlands","Netto",(IF($EZ$1="Français","Net","")))))</f>
        <v/>
      </c>
      <c r="FC111" s="162" t="e">
        <f ca="1">'SIMUL SSGPI'!B37</f>
        <v>#N/A</v>
      </c>
      <c r="FD111" s="191"/>
    </row>
    <row r="112" spans="157:160" x14ac:dyDescent="0.25">
      <c r="FA112" s="196"/>
      <c r="FD112" s="191"/>
    </row>
    <row r="113" spans="157:160" x14ac:dyDescent="0.25">
      <c r="FA113" s="261" t="str">
        <f ca="1">IF($EZ$1="Nederlands","Deze simulatie is onder voorbehoud en er kunnen op geen enkele wijze rechten uit deze resultaten verleend worden.",(IF($EZ$1="Français","Cette simulation est provisoire et des droits ne peuvent en aucun cas être octroyés sur cette base.","")))</f>
        <v/>
      </c>
      <c r="FB113" s="262"/>
      <c r="FC113" s="262"/>
      <c r="FD113" s="263"/>
    </row>
    <row r="114" spans="157:160" x14ac:dyDescent="0.25">
      <c r="FA114" s="261"/>
      <c r="FB114" s="262"/>
      <c r="FC114" s="262"/>
      <c r="FD114" s="263"/>
    </row>
    <row r="115" spans="157:160" x14ac:dyDescent="0.25">
      <c r="FA115" s="255"/>
      <c r="FB115" s="256"/>
      <c r="FC115" s="256"/>
      <c r="FD115" s="257"/>
    </row>
    <row r="116" spans="157:160" x14ac:dyDescent="0.25">
      <c r="FA116" s="258"/>
      <c r="FB116" s="259"/>
      <c r="FC116" s="259"/>
      <c r="FD116" s="260"/>
    </row>
  </sheetData>
  <sheetProtection algorithmName="SHA-512" hashValue="awUnVOcgvVZKEbAbsWwWOJL9g1lA+umiJlPh+Vt1R2dUZpojj5gZOubALkAR+S/OvbTPOIdYixBQExUOssAxTg==" saltValue="+DMRdwU4OGsf/4g0gfsmRQ==" spinCount="100000" sheet="1" selectLockedCells="1"/>
  <mergeCells count="16">
    <mergeCell ref="FA115:FD116"/>
    <mergeCell ref="FA113:FD114"/>
    <mergeCell ref="FA95:FD95"/>
    <mergeCell ref="FA88:FD88"/>
    <mergeCell ref="FA93:FC93"/>
    <mergeCell ref="A2:B2"/>
    <mergeCell ref="A3:B3"/>
    <mergeCell ref="FA83:FD83"/>
    <mergeCell ref="FA68:FD68"/>
    <mergeCell ref="A14:B14"/>
    <mergeCell ref="A30:B30"/>
    <mergeCell ref="C26:E27"/>
    <mergeCell ref="FA69:FD69"/>
    <mergeCell ref="FA78:FD78"/>
    <mergeCell ref="FA71:FB72"/>
    <mergeCell ref="A33:B33"/>
  </mergeCells>
  <pageMargins left="0.7" right="0.7" top="0.75" bottom="0.75" header="0.3" footer="0.3"/>
  <pageSetup paperSize="9" scale="90" orientation="portrait" r:id="rId1"/>
  <colBreaks count="2" manualBreakCount="2">
    <brk id="1" min="1" max="48" man="1"/>
    <brk id="5" min="1" max="48" man="1"/>
  </colBreak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C07D332A-0B33-4DA8-9CA5-E32BB9DCA01D}">
          <x14:formula1>
            <xm:f>Loonschalen!$B$2:$BF$2</xm:f>
          </x14:formula1>
          <xm:sqref>B6</xm:sqref>
        </x14:dataValidation>
        <x14:dataValidation type="list" allowBlank="1" showInputMessage="1" showErrorMessage="1" error="foutieve waarde_x000a_" xr:uid="{641F6AD8-3B00-46F0-A2F7-D4DA8EA0356F}">
          <x14:formula1>
            <xm:f>Gegevenslijsten!$A$2:$A$7</xm:f>
          </x14:formula1>
          <xm:sqref>B15</xm:sqref>
        </x14:dataValidation>
        <x14:dataValidation type="list" allowBlank="1" showInputMessage="1" showErrorMessage="1" error="foutieve waarde" xr:uid="{3437DD9B-FB52-417B-B030-E1E9FF84FC32}">
          <x14:formula1>
            <xm:f>Gegevenslijsten!$A$11:$A$18</xm:f>
          </x14:formula1>
          <xm:sqref>B17</xm:sqref>
        </x14:dataValidation>
        <x14:dataValidation type="list" allowBlank="1" showInputMessage="1" showErrorMessage="1" error="foutieve waarde" xr:uid="{8A7148DA-0DB8-41F4-8818-1E3D98F37E20}">
          <x14:formula1>
            <xm:f>Gegevenslijsten!$D$2:$D$4</xm:f>
          </x14:formula1>
          <xm:sqref>B16 B18</xm:sqref>
        </x14:dataValidation>
        <x14:dataValidation type="list" allowBlank="1" showInputMessage="1" showErrorMessage="1" xr:uid="{58635CCD-CEF7-40FA-97E4-D48D97B49C2D}">
          <x14:formula1>
            <xm:f>Gegevenslijsten!$H$2:$H$32</xm:f>
          </x14:formula1>
          <xm:sqref>B19:B20</xm:sqref>
        </x14:dataValidation>
        <x14:dataValidation type="list" allowBlank="1" showInputMessage="1" showErrorMessage="1" xr:uid="{6DDC13FC-4803-42A4-A967-D9ACE7CA74E8}">
          <x14:formula1>
            <xm:f>Gegevenslijsten!$H$2:$H$6</xm:f>
          </x14:formula1>
          <xm:sqref>B21</xm:sqref>
        </x14:dataValidation>
        <x14:dataValidation type="list" allowBlank="1" showInputMessage="1" showErrorMessage="1" xr:uid="{F5359E33-CD4C-4C14-AF28-89DF360549EF}">
          <x14:formula1>
            <xm:f>Gegevenslijsten!$H$2:$H$8</xm:f>
          </x14:formula1>
          <xm:sqref>B22:B23</xm:sqref>
        </x14:dataValidation>
        <x14:dataValidation type="list" allowBlank="1" showInputMessage="1" showErrorMessage="1" xr:uid="{679C3D80-F83D-4638-B60F-1D100362AAC2}">
          <x14:formula1>
            <xm:f>Gegevenslijsten!$L$4:$L$7</xm:f>
          </x14:formula1>
          <xm:sqref>B4</xm:sqref>
        </x14:dataValidation>
        <x14:dataValidation type="list" allowBlank="1" showInputMessage="1" showErrorMessage="1" xr:uid="{C70F3DD3-6469-4EF6-8BF5-6814C636F943}">
          <x14:formula1>
            <xm:f>Gegevenslijsten!$N$1:$N$2</xm:f>
          </x14:formula1>
          <xm:sqref>B1</xm:sqref>
        </x14:dataValidation>
        <x14:dataValidation type="list" allowBlank="1" showInputMessage="1" showErrorMessage="1" xr:uid="{E4B18000-15B6-41E6-BF23-7B70527AA040}">
          <x14:formula1>
            <xm:f>Gegevenslijsten!$A$44:$A$47</xm:f>
          </x14:formula1>
          <xm:sqref>B10</xm:sqref>
        </x14:dataValidation>
        <x14:dataValidation type="list" allowBlank="1" showInputMessage="1" showErrorMessage="1" xr:uid="{5CCDC54F-94E3-4E79-957E-EE6C96150D31}">
          <x14:formula1>
            <xm:f>Gegevenslijsten!$D$3:$D$4</xm:f>
          </x14:formula1>
          <xm:sqref>B34</xm:sqref>
        </x14:dataValidation>
        <x14:dataValidation type="list" allowBlank="1" showInputMessage="1" showErrorMessage="1" xr:uid="{10E50671-BC2E-402C-9436-E1A7214CD935}">
          <x14:formula1>
            <xm:f>Gegevenslijsten!$A$50:$A$51</xm:f>
          </x14:formula1>
          <xm:sqref>B35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5141-B492-4A69-AA36-650F42775957}">
  <sheetPr codeName="Blad3">
    <pageSetUpPr fitToPage="1"/>
  </sheetPr>
  <dimension ref="A1:AK41"/>
  <sheetViews>
    <sheetView zoomScaleNormal="100" workbookViewId="0">
      <selection activeCell="C4" sqref="C4"/>
    </sheetView>
  </sheetViews>
  <sheetFormatPr defaultRowHeight="15" x14ac:dyDescent="0.25"/>
  <cols>
    <col min="1" max="1" width="33.85546875" bestFit="1" customWidth="1"/>
    <col min="2" max="2" width="30.42578125" bestFit="1" customWidth="1"/>
    <col min="3" max="3" width="53.28515625" bestFit="1" customWidth="1"/>
    <col min="4" max="4" width="27" customWidth="1"/>
    <col min="5" max="5" width="20.42578125" bestFit="1" customWidth="1"/>
    <col min="6" max="6" width="22.140625" bestFit="1" customWidth="1"/>
    <col min="7" max="7" width="16" bestFit="1" customWidth="1"/>
    <col min="8" max="8" width="22.28515625" bestFit="1" customWidth="1"/>
    <col min="9" max="9" width="17.7109375" bestFit="1" customWidth="1"/>
    <col min="10" max="10" width="18.5703125" customWidth="1"/>
    <col min="11" max="11" width="10.7109375" hidden="1" customWidth="1"/>
    <col min="12" max="12" width="31.5703125" hidden="1" customWidth="1"/>
    <col min="13" max="13" width="10.42578125" hidden="1" customWidth="1"/>
    <col min="14" max="24" width="8.85546875" hidden="1" customWidth="1"/>
    <col min="25" max="26" width="8.85546875" customWidth="1"/>
    <col min="27" max="27" width="15.42578125" hidden="1" customWidth="1"/>
    <col min="28" max="28" width="0" hidden="1" customWidth="1"/>
  </cols>
  <sheetData>
    <row r="1" spans="1:37" x14ac:dyDescent="0.25">
      <c r="A1" s="5" t="str">
        <f ca="1">K1</f>
        <v/>
      </c>
      <c r="B1" s="6"/>
      <c r="C1" s="5"/>
      <c r="D1" s="5"/>
      <c r="H1" t="e">
        <f>SIMUL!B8</f>
        <v>#N/A</v>
      </c>
      <c r="I1">
        <f ca="1">SIMUL!EZ1</f>
        <v>0</v>
      </c>
      <c r="K1" t="str">
        <f ca="1">IF($I$1="Nederlands",L1,(IF($I$1="Français",M1,"")))</f>
        <v/>
      </c>
      <c r="L1" t="s">
        <v>34</v>
      </c>
      <c r="M1" t="s">
        <v>265</v>
      </c>
      <c r="AA1" t="s">
        <v>206</v>
      </c>
    </row>
    <row r="2" spans="1:37" x14ac:dyDescent="0.25">
      <c r="A2" s="5" t="str">
        <f t="shared" ref="A2:A35" ca="1" si="0">K2</f>
        <v/>
      </c>
      <c r="B2" s="7"/>
      <c r="C2" s="5"/>
      <c r="D2" s="5"/>
      <c r="H2" t="e">
        <f>ROUND(IF(AND(index&gt;2.207,H1&gt;22173.97),(H1-((H1-22173.97)/51)),H1),2)</f>
        <v>#N/A</v>
      </c>
      <c r="K2" t="str">
        <f t="shared" ref="K2:K36" ca="1" si="1">IF($I$1="Nederlands",L2,(IF($I$1="Français",M2,"")))</f>
        <v/>
      </c>
      <c r="L2" t="s">
        <v>35</v>
      </c>
      <c r="M2" t="s">
        <v>266</v>
      </c>
    </row>
    <row r="3" spans="1:37" x14ac:dyDescent="0.25">
      <c r="A3" s="5" t="str">
        <f t="shared" ca="1" si="0"/>
        <v/>
      </c>
      <c r="B3" s="163" t="e">
        <f>BBSZ!D2</f>
        <v>#N/A</v>
      </c>
      <c r="C3" s="5"/>
      <c r="D3" s="5"/>
      <c r="H3" t="e">
        <f>H2</f>
        <v>#N/A</v>
      </c>
      <c r="K3" t="str">
        <f t="shared" ca="1" si="1"/>
        <v/>
      </c>
      <c r="L3" t="s">
        <v>132</v>
      </c>
      <c r="M3" t="s">
        <v>132</v>
      </c>
      <c r="AA3" t="s">
        <v>124</v>
      </c>
      <c r="AB3" s="162" t="e">
        <f>'SIMUL SSGPI'!#REF!</f>
        <v>#REF!</v>
      </c>
    </row>
    <row r="4" spans="1:37" x14ac:dyDescent="0.25">
      <c r="A4" s="5"/>
      <c r="B4" s="5"/>
      <c r="C4" s="5"/>
      <c r="D4" s="5"/>
      <c r="K4" t="str">
        <f t="shared" ca="1" si="1"/>
        <v/>
      </c>
      <c r="L4" t="s">
        <v>311</v>
      </c>
      <c r="M4" t="s">
        <v>312</v>
      </c>
    </row>
    <row r="5" spans="1:37" x14ac:dyDescent="0.25">
      <c r="A5" s="5" t="str">
        <f t="shared" ca="1" si="0"/>
        <v/>
      </c>
      <c r="B5" s="162" t="e">
        <f>SIMUL!D8</f>
        <v>#N/A</v>
      </c>
      <c r="C5" s="164" t="str">
        <f ca="1">K4</f>
        <v/>
      </c>
      <c r="D5" s="165">
        <f>SIMUL!B6</f>
        <v>0</v>
      </c>
      <c r="E5" s="162" t="e">
        <f ca="1">B5*index*breuk*B8/(12*B9)</f>
        <v>#N/A</v>
      </c>
      <c r="K5" t="str">
        <f t="shared" ca="1" si="1"/>
        <v/>
      </c>
      <c r="L5" t="s">
        <v>36</v>
      </c>
      <c r="M5" t="s">
        <v>267</v>
      </c>
    </row>
    <row r="6" spans="1:37" x14ac:dyDescent="0.25">
      <c r="A6" s="5" t="str">
        <f t="shared" ca="1" si="0"/>
        <v/>
      </c>
      <c r="B6" s="162"/>
      <c r="C6" s="164" t="s">
        <v>53</v>
      </c>
      <c r="D6" s="166"/>
      <c r="E6" s="162" t="e">
        <f ca="1">B6*index*breuk*B8/(12*B9)</f>
        <v>#N/A</v>
      </c>
      <c r="K6" t="str">
        <f t="shared" ca="1" si="1"/>
        <v/>
      </c>
      <c r="L6" t="s">
        <v>52</v>
      </c>
      <c r="M6" t="s">
        <v>268</v>
      </c>
    </row>
    <row r="7" spans="1:37" x14ac:dyDescent="0.25">
      <c r="A7" s="5" t="str">
        <f t="shared" ca="1" si="0"/>
        <v/>
      </c>
      <c r="B7" s="1" t="e">
        <f ca="1">SIMUL!B11</f>
        <v>#N/A</v>
      </c>
      <c r="C7" s="5"/>
      <c r="D7" s="5"/>
      <c r="K7" t="str">
        <f t="shared" ca="1" si="1"/>
        <v/>
      </c>
      <c r="L7" t="s">
        <v>37</v>
      </c>
      <c r="M7" t="s">
        <v>269</v>
      </c>
    </row>
    <row r="8" spans="1:37" x14ac:dyDescent="0.25">
      <c r="A8" s="5" t="str">
        <f t="shared" ca="1" si="0"/>
        <v/>
      </c>
      <c r="B8" s="8">
        <v>22</v>
      </c>
      <c r="C8" s="5"/>
      <c r="D8" s="5"/>
      <c r="K8" t="str">
        <f t="shared" ca="1" si="1"/>
        <v/>
      </c>
      <c r="L8" t="s">
        <v>38</v>
      </c>
      <c r="M8" t="s">
        <v>270</v>
      </c>
    </row>
    <row r="9" spans="1:37" x14ac:dyDescent="0.25">
      <c r="A9" s="5" t="str">
        <f t="shared" ca="1" si="0"/>
        <v/>
      </c>
      <c r="B9" s="8">
        <v>22</v>
      </c>
      <c r="C9" s="5"/>
      <c r="D9" s="5"/>
      <c r="K9" t="str">
        <f t="shared" ca="1" si="1"/>
        <v/>
      </c>
      <c r="L9" t="s">
        <v>39</v>
      </c>
      <c r="M9" t="s">
        <v>271</v>
      </c>
    </row>
    <row r="10" spans="1:37" x14ac:dyDescent="0.25">
      <c r="A10" s="5" t="str">
        <f t="shared" ca="1" si="0"/>
        <v/>
      </c>
      <c r="B10" s="162" t="e">
        <f ca="1">B5*index*breuk/12</f>
        <v>#N/A</v>
      </c>
      <c r="C10" s="5" t="e">
        <f>(B5+B6)*B3/12</f>
        <v>#N/A</v>
      </c>
      <c r="D10" s="5"/>
      <c r="K10" t="str">
        <f t="shared" ca="1" si="1"/>
        <v/>
      </c>
      <c r="L10" t="s">
        <v>40</v>
      </c>
      <c r="M10" t="s">
        <v>272</v>
      </c>
    </row>
    <row r="11" spans="1:37" x14ac:dyDescent="0.25">
      <c r="A11" s="5" t="str">
        <f t="shared" ca="1" si="0"/>
        <v/>
      </c>
      <c r="B11" s="162" t="e">
        <f ca="1">ROUND(B10*0.0355,2)</f>
        <v>#N/A</v>
      </c>
      <c r="C11" s="5"/>
      <c r="D11" s="5"/>
      <c r="K11" t="str">
        <f t="shared" ca="1" si="1"/>
        <v/>
      </c>
      <c r="L11" t="s">
        <v>41</v>
      </c>
      <c r="M11" t="s">
        <v>273</v>
      </c>
    </row>
    <row r="12" spans="1:37" x14ac:dyDescent="0.25">
      <c r="A12" s="5" t="str">
        <f t="shared" ca="1" si="0"/>
        <v/>
      </c>
      <c r="B12" s="162"/>
      <c r="C12" s="5"/>
      <c r="D12" s="5"/>
      <c r="K12" t="str">
        <f t="shared" ca="1" si="1"/>
        <v/>
      </c>
      <c r="L12" t="s">
        <v>42</v>
      </c>
      <c r="M12" t="s">
        <v>274</v>
      </c>
    </row>
    <row r="13" spans="1:37" x14ac:dyDescent="0.25">
      <c r="A13" s="5"/>
      <c r="B13" s="5"/>
      <c r="C13" s="5"/>
      <c r="D13" s="5"/>
      <c r="K13" t="str">
        <f t="shared" ca="1" si="1"/>
        <v/>
      </c>
      <c r="L13" t="s">
        <v>301</v>
      </c>
      <c r="M13" t="s">
        <v>302</v>
      </c>
    </row>
    <row r="14" spans="1:37" x14ac:dyDescent="0.25">
      <c r="A14" s="5" t="str">
        <f t="shared" ca="1" si="0"/>
        <v/>
      </c>
      <c r="B14" s="9"/>
      <c r="C14" s="5"/>
      <c r="D14" s="5"/>
      <c r="K14" t="str">
        <f t="shared" ca="1" si="1"/>
        <v/>
      </c>
      <c r="L14" t="s">
        <v>133</v>
      </c>
      <c r="M14" t="s">
        <v>275</v>
      </c>
    </row>
    <row r="15" spans="1:37" x14ac:dyDescent="0.25">
      <c r="A15" s="5" t="str">
        <f t="shared" ca="1" si="0"/>
        <v/>
      </c>
      <c r="B15" s="162">
        <v>0</v>
      </c>
      <c r="C15" s="5"/>
      <c r="D15" s="5"/>
      <c r="K15" t="str">
        <f t="shared" ca="1" si="1"/>
        <v/>
      </c>
      <c r="L15" t="s">
        <v>43</v>
      </c>
      <c r="M15" t="s">
        <v>276</v>
      </c>
    </row>
    <row r="16" spans="1:37" x14ac:dyDescent="0.25">
      <c r="A16" s="5" t="str">
        <f t="shared" ca="1" si="0"/>
        <v/>
      </c>
      <c r="B16" s="162" t="e">
        <f ca="1">ROUND(B15*index*breuk*B8/(12*B9),2)</f>
        <v>#N/A</v>
      </c>
      <c r="C16" s="5"/>
      <c r="D16" s="5"/>
      <c r="K16" t="str">
        <f t="shared" ca="1" si="1"/>
        <v/>
      </c>
      <c r="L16" t="s">
        <v>44</v>
      </c>
      <c r="M16" t="s">
        <v>277</v>
      </c>
      <c r="AD16" s="265" t="s">
        <v>332</v>
      </c>
      <c r="AE16" s="265"/>
      <c r="AF16" s="265"/>
      <c r="AG16" s="265"/>
      <c r="AH16" s="265"/>
      <c r="AI16" s="265"/>
      <c r="AJ16" s="265"/>
      <c r="AK16" s="265"/>
    </row>
    <row r="17" spans="1:37" x14ac:dyDescent="0.25">
      <c r="A17" s="5"/>
      <c r="B17" s="5"/>
      <c r="C17" s="5"/>
      <c r="D17" s="5"/>
      <c r="K17" t="str">
        <f t="shared" ca="1" si="1"/>
        <v/>
      </c>
      <c r="L17" t="s">
        <v>300</v>
      </c>
      <c r="M17" t="s">
        <v>299</v>
      </c>
      <c r="AD17" s="272" t="s">
        <v>333</v>
      </c>
      <c r="AE17" s="265" t="s">
        <v>334</v>
      </c>
      <c r="AF17" s="265"/>
      <c r="AG17" s="265"/>
      <c r="AH17" s="265" t="s">
        <v>335</v>
      </c>
      <c r="AI17" s="265"/>
      <c r="AJ17" s="265"/>
    </row>
    <row r="18" spans="1:37" x14ac:dyDescent="0.25">
      <c r="A18" s="5" t="str">
        <f t="shared" ca="1" si="0"/>
        <v/>
      </c>
      <c r="B18" s="5"/>
      <c r="C18" s="5"/>
      <c r="D18" s="5"/>
      <c r="K18" t="str">
        <f t="shared" ca="1" si="1"/>
        <v/>
      </c>
      <c r="L18" t="s">
        <v>134</v>
      </c>
      <c r="M18" t="s">
        <v>278</v>
      </c>
      <c r="AD18" s="272"/>
      <c r="AE18" t="s">
        <v>336</v>
      </c>
      <c r="AF18" t="s">
        <v>185</v>
      </c>
      <c r="AG18" t="s">
        <v>337</v>
      </c>
      <c r="AH18" t="s">
        <v>336</v>
      </c>
      <c r="AI18" t="s">
        <v>185</v>
      </c>
      <c r="AJ18" t="s">
        <v>337</v>
      </c>
      <c r="AK18" t="s">
        <v>338</v>
      </c>
    </row>
    <row r="19" spans="1:37" x14ac:dyDescent="0.25">
      <c r="A19" s="5" t="str">
        <f t="shared" ca="1" si="0"/>
        <v/>
      </c>
      <c r="B19" s="5" t="e">
        <f ca="1">B10</f>
        <v>#N/A</v>
      </c>
      <c r="C19" s="5" t="e">
        <f ca="1">B19</f>
        <v>#N/A</v>
      </c>
      <c r="D19" s="5"/>
      <c r="E19" t="e">
        <f>IF(OR(SIMUL!B$35="Federale politie",SIMUL!B$35="Police fédérale"),AI19,AF19)</f>
        <v>#N/A</v>
      </c>
      <c r="F19" t="e">
        <f ca="1">ROUND(C19*E19,2)</f>
        <v>#N/A</v>
      </c>
      <c r="K19" t="str">
        <f t="shared" ca="1" si="1"/>
        <v/>
      </c>
      <c r="L19" t="s">
        <v>135</v>
      </c>
      <c r="M19" t="s">
        <v>279</v>
      </c>
      <c r="AD19">
        <f>BBSZ!E2</f>
        <v>1900</v>
      </c>
      <c r="AE19" t="e">
        <f>VLOOKUP($AD$19,BBSZ!$V4:$AC24,2,FALSE)</f>
        <v>#N/A</v>
      </c>
      <c r="AF19" t="e">
        <f>VLOOKUP($AD$19,BBSZ!$V4:$AC24,3,FALSE)</f>
        <v>#N/A</v>
      </c>
      <c r="AG19" t="e">
        <f>VLOOKUP($AD$19,BBSZ!$V4:$AC24,4,FALSE)</f>
        <v>#N/A</v>
      </c>
      <c r="AH19" t="e">
        <f>VLOOKUP($AD$19,BBSZ!$V4:$AC24,5,FALSE)</f>
        <v>#N/A</v>
      </c>
      <c r="AI19" t="e">
        <f>VLOOKUP($AD$19,BBSZ!$V4:$AC24,6,FALSE)</f>
        <v>#N/A</v>
      </c>
      <c r="AJ19" t="e">
        <f>VLOOKUP($AD$19,BBSZ!$V4:$AC24,7,FALSE)</f>
        <v>#N/A</v>
      </c>
      <c r="AK19" t="e">
        <f>VLOOKUP($AD$19,BBSZ!$V4:$AC24,8,FALSE)</f>
        <v>#N/A</v>
      </c>
    </row>
    <row r="20" spans="1:37" x14ac:dyDescent="0.25">
      <c r="A20" s="5"/>
      <c r="B20" s="5"/>
      <c r="C20" s="5"/>
      <c r="D20" s="5"/>
      <c r="E20" t="e">
        <f>AK19</f>
        <v>#N/A</v>
      </c>
      <c r="F20" t="e">
        <f ca="1">ROUND(C19*E20,2)</f>
        <v>#N/A</v>
      </c>
      <c r="K20" t="str">
        <f t="shared" ca="1" si="1"/>
        <v/>
      </c>
      <c r="L20" t="s">
        <v>303</v>
      </c>
      <c r="M20" t="s">
        <v>304</v>
      </c>
    </row>
    <row r="21" spans="1:37" x14ac:dyDescent="0.25">
      <c r="A21" s="5" t="str">
        <f t="shared" ca="1" si="0"/>
        <v/>
      </c>
      <c r="B21" s="162" t="e">
        <f ca="1">B19+B16</f>
        <v>#N/A</v>
      </c>
      <c r="C21" s="5" t="str">
        <f>SIMUL!B5</f>
        <v>Statutair</v>
      </c>
      <c r="D21" s="5"/>
      <c r="G21" s="162"/>
      <c r="K21" t="str">
        <f t="shared" ca="1" si="1"/>
        <v/>
      </c>
      <c r="L21" t="s">
        <v>55</v>
      </c>
      <c r="M21" t="s">
        <v>280</v>
      </c>
    </row>
    <row r="22" spans="1:37" x14ac:dyDescent="0.25">
      <c r="A22" s="5" t="str">
        <f t="shared" ca="1" si="0"/>
        <v/>
      </c>
      <c r="B22" s="162"/>
      <c r="C22" s="1">
        <v>7.4999999999999997E-2</v>
      </c>
      <c r="D22" s="5"/>
      <c r="K22" t="str">
        <f t="shared" ca="1" si="1"/>
        <v/>
      </c>
      <c r="L22" t="s">
        <v>54</v>
      </c>
      <c r="M22" t="s">
        <v>281</v>
      </c>
    </row>
    <row r="23" spans="1:37" x14ac:dyDescent="0.25">
      <c r="A23" s="5" t="str">
        <f t="shared" ca="1" si="0"/>
        <v/>
      </c>
      <c r="B23" s="162" t="e">
        <f ca="1">ROUND(B21*C23,2)</f>
        <v>#N/A</v>
      </c>
      <c r="C23" s="1">
        <v>3.5499999999999997E-2</v>
      </c>
      <c r="D23" s="1"/>
      <c r="K23" t="str">
        <f t="shared" ca="1" si="1"/>
        <v/>
      </c>
      <c r="L23" t="s">
        <v>136</v>
      </c>
      <c r="M23" t="s">
        <v>282</v>
      </c>
    </row>
    <row r="24" spans="1:37" x14ac:dyDescent="0.25">
      <c r="A24" s="5"/>
      <c r="B24" s="162"/>
      <c r="C24" s="1"/>
      <c r="D24" s="1"/>
      <c r="K24" t="str">
        <f t="shared" ca="1" si="1"/>
        <v/>
      </c>
      <c r="L24" t="s">
        <v>137</v>
      </c>
      <c r="M24" t="s">
        <v>283</v>
      </c>
    </row>
    <row r="25" spans="1:37" x14ac:dyDescent="0.25">
      <c r="A25" s="5" t="str">
        <f t="shared" ca="1" si="0"/>
        <v/>
      </c>
      <c r="B25" s="162" t="e">
        <f ca="1">B21-B23</f>
        <v>#N/A</v>
      </c>
      <c r="C25" s="5">
        <f>BV!B1</f>
        <v>0</v>
      </c>
      <c r="D25" s="5" t="str">
        <f ca="1">K20</f>
        <v/>
      </c>
      <c r="E25">
        <f>BV!B5</f>
        <v>0</v>
      </c>
      <c r="K25" t="str">
        <f t="shared" ca="1" si="1"/>
        <v/>
      </c>
      <c r="L25" t="s">
        <v>45</v>
      </c>
      <c r="M25" t="s">
        <v>284</v>
      </c>
    </row>
    <row r="26" spans="1:37" x14ac:dyDescent="0.25">
      <c r="A26" s="5"/>
      <c r="B26" s="5"/>
      <c r="C26" s="5" t="e">
        <f ca="1">BV!B3</f>
        <v>#N/A</v>
      </c>
      <c r="D26" s="5"/>
    </row>
    <row r="27" spans="1:37" x14ac:dyDescent="0.25">
      <c r="A27" s="5"/>
      <c r="B27" s="5"/>
      <c r="C27" s="5"/>
      <c r="D27" s="5"/>
      <c r="K27" t="str">
        <f t="shared" ca="1" si="1"/>
        <v/>
      </c>
      <c r="L27" t="s">
        <v>298</v>
      </c>
      <c r="M27" t="s">
        <v>297</v>
      </c>
    </row>
    <row r="28" spans="1:37" x14ac:dyDescent="0.25">
      <c r="A28" s="5" t="str">
        <f t="shared" ca="1" si="0"/>
        <v/>
      </c>
      <c r="B28" s="162" t="e">
        <f ca="1">IF(OR(SIMUL!B5="statutair",SIMUL!B5="statutaire"),'SIMUL SSGPI'!C19,'SIMUL SSGPI'!#REF!)</f>
        <v>#N/A</v>
      </c>
      <c r="C28" s="9"/>
      <c r="D28" s="5"/>
      <c r="E28" s="172"/>
      <c r="F28" s="10" t="str">
        <f ca="1">T29</f>
        <v/>
      </c>
      <c r="G28" s="10" t="str">
        <f ca="1">T30</f>
        <v/>
      </c>
      <c r="K28" t="str">
        <f t="shared" ca="1" si="1"/>
        <v/>
      </c>
      <c r="L28" t="s">
        <v>47</v>
      </c>
      <c r="M28" t="s">
        <v>285</v>
      </c>
      <c r="T28" t="str">
        <f t="shared" ref="T28:T30" ca="1" si="2">IF($I$1="Nederlands",U28,(IF($I$1="Français",V28,"")))</f>
        <v/>
      </c>
      <c r="U28" t="s">
        <v>305</v>
      </c>
      <c r="V28" t="s">
        <v>306</v>
      </c>
    </row>
    <row r="29" spans="1:37" x14ac:dyDescent="0.25">
      <c r="A29" s="5" t="str">
        <f t="shared" ca="1" si="0"/>
        <v/>
      </c>
      <c r="B29" s="162" t="e">
        <f ca="1">IF(OR(BBSZ!E8="alleenstaande",BBSZ!E8="Isolé(e)"),alleenst,(IF(BV!B3=Gegevenslijsten!O12,gehuwdzink,gehuwdink)))</f>
        <v>#N/A</v>
      </c>
      <c r="C29" s="5"/>
      <c r="D29" s="5"/>
      <c r="E29" s="11" t="e">
        <f ca="1">ROUND(IF(B28&lt;1945.39,0,(IF(B28&lt;2190.19,(B28-1945.38)*0.0422,(IF(B28&lt;3737.01,10.33+(B28-2190.18)*0.011,(IF(B28&lt;4100.01,27.35+(B28-3737)*0.0338,(IF(B28&lt;6038.83,39.61+(B28-4100)*0.011,60.94))))))))),2)</f>
        <v>#N/A</v>
      </c>
      <c r="F29" s="11" t="e">
        <f ca="1">ROUND(IF(B28&lt;1945.39,0,(IF(B28&lt;2190.19,(B28-1945.38)*0.059,(IF(B28&lt;6038.83,14.44+(B28-2190.18)*0.011,60.94))))),2)</f>
        <v>#N/A</v>
      </c>
      <c r="G29" s="11" t="e">
        <f ca="1">IF(AND(B28&gt;1945.38,H29&lt;5.15),5.15,(IF(H29&gt;51.64,51.64,H29)))</f>
        <v>#N/A</v>
      </c>
      <c r="H29" t="e">
        <f ca="1">ROUND(IF(B28&lt;1095.1,0,(IF(B28&lt;1945.39,5.15,(IF(B28&lt;2190.19,(B28-1945.38)*0.059,(IF(B28&lt;6038.83,14.44+(B28-2190.18)*0.011,60.94))))))),2)</f>
        <v>#N/A</v>
      </c>
      <c r="K29" t="str">
        <f t="shared" ca="1" si="1"/>
        <v/>
      </c>
      <c r="L29" t="s">
        <v>46</v>
      </c>
      <c r="M29" t="s">
        <v>286</v>
      </c>
      <c r="T29" t="str">
        <f t="shared" ca="1" si="2"/>
        <v/>
      </c>
      <c r="U29" t="s">
        <v>307</v>
      </c>
      <c r="V29" t="s">
        <v>308</v>
      </c>
    </row>
    <row r="30" spans="1:37" x14ac:dyDescent="0.25">
      <c r="A30" s="5"/>
      <c r="B30" s="5"/>
      <c r="C30" s="5"/>
      <c r="D30" s="5"/>
      <c r="K30" t="str">
        <f t="shared" ca="1" si="1"/>
        <v/>
      </c>
      <c r="L30" t="s">
        <v>296</v>
      </c>
      <c r="M30" t="s">
        <v>295</v>
      </c>
      <c r="T30" t="str">
        <f t="shared" ca="1" si="2"/>
        <v/>
      </c>
      <c r="U30" t="s">
        <v>309</v>
      </c>
      <c r="V30" t="s">
        <v>310</v>
      </c>
    </row>
    <row r="31" spans="1:37" x14ac:dyDescent="0.25">
      <c r="A31" s="5" t="str">
        <f t="shared" ca="1" si="0"/>
        <v/>
      </c>
      <c r="B31" s="14" t="e">
        <f ca="1">BV!C51</f>
        <v>#N/A</v>
      </c>
      <c r="C31" s="5" t="str">
        <f ca="1">K36</f>
        <v/>
      </c>
      <c r="D31" s="162" t="e">
        <f ca="1">B25</f>
        <v>#N/A</v>
      </c>
      <c r="K31" t="str">
        <f t="shared" ca="1" si="1"/>
        <v/>
      </c>
      <c r="L31" t="s">
        <v>48</v>
      </c>
      <c r="M31" t="s">
        <v>287</v>
      </c>
    </row>
    <row r="32" spans="1:37" x14ac:dyDescent="0.25">
      <c r="A32" s="5" t="str">
        <f t="shared" ca="1" si="0"/>
        <v/>
      </c>
      <c r="B32" s="162" t="e">
        <f ca="1">IF(OR(SIMUL!B5="contractueel",SIMUL!B5="contractuel(le)"),0,(IF(D31&lt;2256.98,D32,0)))</f>
        <v>#N/A</v>
      </c>
      <c r="C32" s="5"/>
      <c r="D32" s="5"/>
      <c r="K32" t="str">
        <f t="shared" ca="1" si="1"/>
        <v/>
      </c>
      <c r="L32" t="s">
        <v>139</v>
      </c>
      <c r="M32" t="s">
        <v>288</v>
      </c>
    </row>
    <row r="33" spans="1:13" x14ac:dyDescent="0.25">
      <c r="A33" s="5" t="str">
        <f t="shared" ca="1" si="0"/>
        <v/>
      </c>
      <c r="B33" s="162">
        <f>BV!C45</f>
        <v>0</v>
      </c>
      <c r="C33" s="5"/>
      <c r="D33" s="5"/>
      <c r="K33" t="str">
        <f t="shared" ca="1" si="1"/>
        <v/>
      </c>
      <c r="L33" t="s">
        <v>138</v>
      </c>
      <c r="M33" t="s">
        <v>289</v>
      </c>
    </row>
    <row r="34" spans="1:13" x14ac:dyDescent="0.25">
      <c r="A34" s="5" t="str">
        <f t="shared" ca="1" si="0"/>
        <v/>
      </c>
      <c r="B34" s="162">
        <v>0</v>
      </c>
      <c r="C34" s="5"/>
      <c r="D34" s="5"/>
      <c r="K34" t="str">
        <f t="shared" ca="1" si="1"/>
        <v/>
      </c>
      <c r="L34" t="s">
        <v>49</v>
      </c>
      <c r="M34" t="s">
        <v>290</v>
      </c>
    </row>
    <row r="35" spans="1:13" x14ac:dyDescent="0.25">
      <c r="A35" s="5" t="str">
        <f t="shared" ca="1" si="0"/>
        <v/>
      </c>
      <c r="B35" s="162" t="e">
        <f ca="1">IF(B31-B32-B33-B34&lt;0,0,B31-B32-B33-B34)</f>
        <v>#N/A</v>
      </c>
      <c r="C35" s="5"/>
      <c r="D35" s="5"/>
      <c r="K35" t="str">
        <f t="shared" ca="1" si="1"/>
        <v/>
      </c>
      <c r="L35" t="s">
        <v>50</v>
      </c>
      <c r="M35" s="47" t="s">
        <v>291</v>
      </c>
    </row>
    <row r="36" spans="1:13" x14ac:dyDescent="0.25">
      <c r="A36" s="5"/>
      <c r="B36" s="5"/>
      <c r="C36" s="5"/>
      <c r="D36" s="5"/>
      <c r="K36" t="str">
        <f t="shared" ca="1" si="1"/>
        <v/>
      </c>
      <c r="L36" t="s">
        <v>56</v>
      </c>
      <c r="M36" t="s">
        <v>294</v>
      </c>
    </row>
    <row r="37" spans="1:13" x14ac:dyDescent="0.25">
      <c r="A37" s="5" t="str">
        <f t="shared" ref="A37" ca="1" si="3">K37</f>
        <v/>
      </c>
      <c r="B37" s="162" t="e">
        <f ca="1">B25-B29-B35</f>
        <v>#N/A</v>
      </c>
      <c r="C37" s="5"/>
      <c r="D37" s="5"/>
      <c r="K37" t="str">
        <f t="shared" ref="K37:K41" ca="1" si="4">IF($I$1="Nederlands",L37,(IF($I$1="Français",M37,"")))</f>
        <v/>
      </c>
      <c r="L37" t="s">
        <v>51</v>
      </c>
      <c r="M37" t="s">
        <v>292</v>
      </c>
    </row>
    <row r="40" spans="1:13" x14ac:dyDescent="0.25">
      <c r="A40" s="12" t="str">
        <f ca="1">K40</f>
        <v/>
      </c>
      <c r="B40" s="13" t="e">
        <f>IF($B$5&lt;16100.01,720,(IF($B$5&lt;16489.19,((16489.18-$B$5)*0.925)+360,(IF($B$5&lt;18330.01,360,(IF($B$5&lt;18719.19,(18719.18-$B$5)*0.925,0)))))))</f>
        <v>#N/A</v>
      </c>
      <c r="K40" t="str">
        <f t="shared" ca="1" si="4"/>
        <v/>
      </c>
      <c r="L40" t="s">
        <v>57</v>
      </c>
      <c r="M40" t="s">
        <v>293</v>
      </c>
    </row>
    <row r="41" spans="1:13" x14ac:dyDescent="0.25">
      <c r="A41" s="12" t="str">
        <f ca="1">K41</f>
        <v/>
      </c>
      <c r="B41" s="13" t="e">
        <f>IF($B$5&lt;16100.01,360,(IF($B$5&lt;16294.6,((16294.59-$B$5)*0.925)+180,(IF($B$5&lt;18330.01,180,(IF($B$5&lt;18524.6,(18524.59-$B$5)*0.925,0)))))))</f>
        <v>#N/A</v>
      </c>
      <c r="K41" t="str">
        <f t="shared" ca="1" si="4"/>
        <v/>
      </c>
      <c r="L41" t="s">
        <v>58</v>
      </c>
      <c r="M41" t="s">
        <v>255</v>
      </c>
    </row>
  </sheetData>
  <sheetProtection algorithmName="SHA-512" hashValue="J+ochgQ0HAFgYev/D7m9cz0Vovn+e3aP4pmHH/9DKmNFKXg11bIuaukFWuImczGEkjRS6mU0QrQYd12tvVJ8WA==" saltValue="ynBiH8TE0shbtAFQ4GaHPg==" spinCount="100000" sheet="1" selectLockedCells="1" autoFilter="0" selectUnlockedCells="1"/>
  <mergeCells count="4">
    <mergeCell ref="AD16:AK16"/>
    <mergeCell ref="AD17:AD18"/>
    <mergeCell ref="AE17:AG17"/>
    <mergeCell ref="AH17:AJ17"/>
  </mergeCells>
  <pageMargins left="0.7" right="0.7" top="0.75" bottom="0.75" header="0.3" footer="0.3"/>
  <pageSetup paperSize="9" scale="3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C2370-DDAC-415C-8B6A-3770D3653C78}">
  <sheetPr codeName="Blad1"/>
  <dimension ref="A1:Z59"/>
  <sheetViews>
    <sheetView topLeftCell="A23" workbookViewId="0">
      <selection activeCell="C4" sqref="C4"/>
    </sheetView>
  </sheetViews>
  <sheetFormatPr defaultRowHeight="15" x14ac:dyDescent="0.25"/>
  <cols>
    <col min="1" max="1" width="63" bestFit="1" customWidth="1"/>
    <col min="2" max="2" width="40.42578125" bestFit="1" customWidth="1"/>
    <col min="26" max="26" width="10.5703125" bestFit="1" customWidth="1"/>
  </cols>
  <sheetData>
    <row r="1" spans="1:26" x14ac:dyDescent="0.25">
      <c r="A1" t="s">
        <v>11</v>
      </c>
      <c r="B1" s="3">
        <f>SIMUL!B15</f>
        <v>0</v>
      </c>
      <c r="M1" t="e">
        <f ca="1">VLOOKUP(B1,Gegevenslijsten!A2:B7,2,FALSE)</f>
        <v>#N/A</v>
      </c>
      <c r="Z1" s="4">
        <v>46477</v>
      </c>
    </row>
    <row r="2" spans="1:26" x14ac:dyDescent="0.25">
      <c r="A2" t="s">
        <v>13</v>
      </c>
      <c r="B2" s="3">
        <f>SIMUL!B16</f>
        <v>0</v>
      </c>
      <c r="Z2" s="4">
        <f ca="1">TODAY()</f>
        <v>46245</v>
      </c>
    </row>
    <row r="3" spans="1:26" x14ac:dyDescent="0.25">
      <c r="A3" t="e">
        <f ca="1">IF(M1&lt;3,"Inkomsten partner:","")</f>
        <v>#N/A</v>
      </c>
      <c r="B3" s="3" t="e">
        <f ca="1">IF(M1&gt;2,"",SIMUL!B17)</f>
        <v>#N/A</v>
      </c>
      <c r="C3" t="e">
        <f ca="1">IF(M1&lt;3,"",(IF(AND(M1&gt;2,B3=""),"",(IF($N$3="Nederlands","Geen partner dus geen inkomensgegevens aanduiden","Pas de partenaire donc ne pas indiquer de revenus")))))</f>
        <v>#N/A</v>
      </c>
      <c r="H3" t="e">
        <f ca="1">IF(C3="",0,1)</f>
        <v>#N/A</v>
      </c>
      <c r="M3" t="e">
        <f ca="1">VLOOKUP(B3,Gegevenslijsten!A11:B18,2,FALSE)</f>
        <v>#N/A</v>
      </c>
      <c r="N3">
        <f ca="1">Gegevenslijsten!N3</f>
        <v>0</v>
      </c>
    </row>
    <row r="4" spans="1:26" x14ac:dyDescent="0.25">
      <c r="A4" t="e">
        <f ca="1">IF(M1&lt;3,"is uw partner mindervalide?","")</f>
        <v>#N/A</v>
      </c>
      <c r="B4" s="3" t="e">
        <f ca="1">IF(M1&gt;2,"",SIMUL!B18)</f>
        <v>#N/A</v>
      </c>
      <c r="C4" t="e">
        <f ca="1">IF(M1&lt;3,"",(IF(AND(M1&gt;2,B4=""),"",(IF($N$3="Nederlands","Geen partner dus geen invaliditeitsgegevens aanduiden","Pas de partenaire donc ne pas indiquer d'invalidité")))))</f>
        <v>#N/A</v>
      </c>
      <c r="H4" t="e">
        <f ca="1">IF(C4="",0,1)</f>
        <v>#N/A</v>
      </c>
      <c r="M4" t="e">
        <f ca="1">VLOOKUP(B4,Gegevenslijsten!D2:E4,2,FALSE)</f>
        <v>#N/A</v>
      </c>
    </row>
    <row r="5" spans="1:26" x14ac:dyDescent="0.25">
      <c r="A5" t="s">
        <v>20</v>
      </c>
      <c r="B5" s="3">
        <f>SIMUL!B19</f>
        <v>0</v>
      </c>
      <c r="H5" t="e">
        <f ca="1">H3+H4</f>
        <v>#N/A</v>
      </c>
    </row>
    <row r="6" spans="1:26" x14ac:dyDescent="0.25">
      <c r="A6" t="s">
        <v>21</v>
      </c>
      <c r="B6" s="3">
        <f>SIMUL!B20</f>
        <v>0</v>
      </c>
      <c r="M6" t="str">
        <f>IF(B6&gt;B5,"KAN NIET MEER ZIJN DAN HET TOTAAL AANTAL KINDEREN TEN LASTE","")</f>
        <v/>
      </c>
    </row>
    <row r="7" spans="1:26" x14ac:dyDescent="0.25">
      <c r="A7" t="s">
        <v>347</v>
      </c>
      <c r="B7" s="3">
        <f>SIMUL!B21</f>
        <v>0</v>
      </c>
    </row>
    <row r="8" spans="1:26" x14ac:dyDescent="0.25">
      <c r="B8" s="3"/>
      <c r="M8" t="str">
        <f>IF(B8&gt;B7,"KAN NIET MEER ZIJN DAN HET TOTAAL AANTAL KINDEREN TEN LASTE","")</f>
        <v/>
      </c>
    </row>
    <row r="9" spans="1:26" x14ac:dyDescent="0.25">
      <c r="B9" s="3"/>
    </row>
    <row r="10" spans="1:26" x14ac:dyDescent="0.25">
      <c r="A10" t="s">
        <v>22</v>
      </c>
      <c r="B10" s="3">
        <f>SIMUL!B22</f>
        <v>0</v>
      </c>
    </row>
    <row r="11" spans="1:26" x14ac:dyDescent="0.25">
      <c r="A11" t="s">
        <v>23</v>
      </c>
      <c r="B11" s="3">
        <f>SIMUL!B23</f>
        <v>0</v>
      </c>
      <c r="M11" t="str">
        <f>IF(B11&gt;B10,"KAN NIET MEER ZIJN DAN HET TOTAAL AANTAL KINDEREN TEN LASTE","")</f>
        <v/>
      </c>
    </row>
    <row r="12" spans="1:26" x14ac:dyDescent="0.25">
      <c r="B12" s="3"/>
    </row>
    <row r="13" spans="1:26" x14ac:dyDescent="0.25">
      <c r="A13" t="s">
        <v>30</v>
      </c>
      <c r="B13" s="3"/>
    </row>
    <row r="14" spans="1:26" x14ac:dyDescent="0.25">
      <c r="A14" t="s">
        <v>31</v>
      </c>
      <c r="B14" s="3" t="str">
        <f>SIMUL!B5</f>
        <v>Statutair</v>
      </c>
      <c r="M14">
        <v>2</v>
      </c>
      <c r="Z14" s="4"/>
    </row>
    <row r="15" spans="1:26" x14ac:dyDescent="0.25">
      <c r="A15" t="str">
        <f>IF(M14=1,"Geniet u een werkbonus: bedrag werkbonus","")</f>
        <v/>
      </c>
      <c r="B15" s="3">
        <f>IF( OR(B14="contractueel",B14="contractuel(le)"),'SIMUL SSGPI'!B24,0)</f>
        <v>0</v>
      </c>
    </row>
    <row r="16" spans="1:26" x14ac:dyDescent="0.25">
      <c r="B16" s="3"/>
    </row>
    <row r="17" spans="1:13" x14ac:dyDescent="0.25">
      <c r="A17" t="s">
        <v>0</v>
      </c>
      <c r="B17" s="3" t="e">
        <f ca="1">ROUND('SIMUL SSGPI'!B25,2)</f>
        <v>#N/A</v>
      </c>
    </row>
    <row r="18" spans="1:13" x14ac:dyDescent="0.25">
      <c r="A18" t="s">
        <v>2</v>
      </c>
      <c r="B18" t="e">
        <f ca="1">ROUND(B17*12,2)</f>
        <v>#N/A</v>
      </c>
    </row>
    <row r="19" spans="1:13" x14ac:dyDescent="0.25">
      <c r="A19" t="s">
        <v>3</v>
      </c>
      <c r="B19">
        <v>0</v>
      </c>
    </row>
    <row r="20" spans="1:13" x14ac:dyDescent="0.25">
      <c r="C20" t="e">
        <f ca="1">ROUND(IF(B21&gt;44866.67,13460,B21*0.3),2)</f>
        <v>#N/A</v>
      </c>
    </row>
    <row r="21" spans="1:13" x14ac:dyDescent="0.25">
      <c r="A21" t="s">
        <v>32</v>
      </c>
      <c r="B21" t="e">
        <f ca="1">B18-B19</f>
        <v>#N/A</v>
      </c>
      <c r="C21" t="e">
        <f ca="1">B21-C20</f>
        <v>#N/A</v>
      </c>
    </row>
    <row r="23" spans="1:13" x14ac:dyDescent="0.25">
      <c r="A23" t="s">
        <v>1</v>
      </c>
      <c r="D23" t="s">
        <v>8</v>
      </c>
    </row>
    <row r="24" spans="1:13" x14ac:dyDescent="0.25">
      <c r="A24" s="233" t="s">
        <v>363</v>
      </c>
      <c r="B24" s="1">
        <v>0.26750000000000002</v>
      </c>
      <c r="C24" s="233" t="e">
        <f ca="1">ROUND(IF(B21&gt;16710,16710*B24,B21*B24),2)</f>
        <v>#N/A</v>
      </c>
      <c r="D24" s="233" t="e">
        <f ca="1">ROUND(IF(C21&gt;16710,16710*B24,C21*B24)+(C20*B24),2)</f>
        <v>#N/A</v>
      </c>
    </row>
    <row r="25" spans="1:13" x14ac:dyDescent="0.25">
      <c r="A25" s="233" t="s">
        <v>364</v>
      </c>
      <c r="B25" s="1">
        <v>0.42799999999999999</v>
      </c>
      <c r="C25" s="233" t="e">
        <f ca="1">ROUND(IF(B21&lt;16710.01,0,(IF(B21&gt;29500,(29500-16710)*B25,(B21-16710)*B25))),2)</f>
        <v>#N/A</v>
      </c>
      <c r="D25" s="233" t="e">
        <f ca="1">ROUND(IF(C21&lt;16710.01,0,(IF(C21&gt;29500,(29500-16710)*B25,(C21-16710)*B25))),2)</f>
        <v>#N/A</v>
      </c>
    </row>
    <row r="26" spans="1:13" x14ac:dyDescent="0.25">
      <c r="A26" s="233" t="s">
        <v>365</v>
      </c>
      <c r="B26" s="1">
        <v>0.48149999999999998</v>
      </c>
      <c r="C26" s="233" t="e">
        <f ca="1">ROUND(IF(B21&lt;29500.01,0,(IF(B21&gt;51050,(51050-29500)*B26,(B21-29500)*B26))),2)</f>
        <v>#N/A</v>
      </c>
      <c r="D26" s="233" t="e">
        <f ca="1">ROUND(IF(C21&lt;29500.01,0,(IF(C21&gt;51050,(51050-29500)*B26,(C21-29500)*B26))),2)</f>
        <v>#N/A</v>
      </c>
    </row>
    <row r="27" spans="1:13" x14ac:dyDescent="0.25">
      <c r="A27" s="233" t="s">
        <v>366</v>
      </c>
      <c r="B27" s="1">
        <v>0.53500000000000003</v>
      </c>
      <c r="C27" s="233" t="e">
        <f ca="1">ROUND(IF(B21&lt;51050.01,0,(B21-51050)*B27),2)</f>
        <v>#N/A</v>
      </c>
      <c r="D27" s="233" t="e">
        <f ca="1">ROUND(IF(C21&lt;51050.01,0,(C21-51050)*B27),2)</f>
        <v>#N/A</v>
      </c>
    </row>
    <row r="28" spans="1:13" x14ac:dyDescent="0.25">
      <c r="A28" t="s">
        <v>4</v>
      </c>
      <c r="C28" t="e">
        <f ca="1">SUM(C24:C27)</f>
        <v>#N/A</v>
      </c>
      <c r="D28" t="e">
        <f ca="1">SUM(D24:D27)</f>
        <v>#N/A</v>
      </c>
      <c r="L28" t="s">
        <v>9</v>
      </c>
    </row>
    <row r="29" spans="1:13" x14ac:dyDescent="0.25">
      <c r="L29">
        <v>0</v>
      </c>
      <c r="M29" s="233">
        <v>0</v>
      </c>
    </row>
    <row r="30" spans="1:13" x14ac:dyDescent="0.25">
      <c r="A30" t="s">
        <v>5</v>
      </c>
      <c r="L30">
        <v>1</v>
      </c>
      <c r="M30" s="233">
        <v>624</v>
      </c>
    </row>
    <row r="31" spans="1:13" x14ac:dyDescent="0.25">
      <c r="A31" t="s">
        <v>7</v>
      </c>
      <c r="B31" s="234">
        <v>2987.98</v>
      </c>
      <c r="C31" t="e">
        <f ca="1">IF(M3=1,0,B31)</f>
        <v>#N/A</v>
      </c>
      <c r="L31">
        <v>2</v>
      </c>
      <c r="M31" s="233">
        <v>1656</v>
      </c>
    </row>
    <row r="32" spans="1:13" x14ac:dyDescent="0.25">
      <c r="A32" s="233" t="s">
        <v>348</v>
      </c>
      <c r="B32" s="234">
        <v>5975.96</v>
      </c>
      <c r="C32" t="e">
        <f ca="1">IF(M3=1,B32,0)</f>
        <v>#N/A</v>
      </c>
      <c r="L32">
        <v>3</v>
      </c>
      <c r="M32" s="233">
        <v>4404</v>
      </c>
    </row>
    <row r="33" spans="1:13" x14ac:dyDescent="0.25">
      <c r="A33" s="233" t="s">
        <v>349</v>
      </c>
      <c r="B33" s="234">
        <v>3474</v>
      </c>
      <c r="C33" t="e">
        <f ca="1">IF(M3=3,B33,0)</f>
        <v>#N/A</v>
      </c>
      <c r="L33">
        <v>4</v>
      </c>
      <c r="M33" s="233">
        <v>7620</v>
      </c>
    </row>
    <row r="34" spans="1:13" x14ac:dyDescent="0.25">
      <c r="A34" s="233" t="s">
        <v>350</v>
      </c>
      <c r="B34" s="233">
        <v>1740</v>
      </c>
      <c r="C34" t="e">
        <f ca="1">IF(M3=2,B34,0)</f>
        <v>#N/A</v>
      </c>
      <c r="L34">
        <v>5</v>
      </c>
      <c r="M34" s="233">
        <v>11100</v>
      </c>
    </row>
    <row r="35" spans="1:13" x14ac:dyDescent="0.25">
      <c r="A35" t="s">
        <v>10</v>
      </c>
      <c r="B35">
        <f>B5+B6</f>
        <v>0</v>
      </c>
      <c r="C35">
        <f>VLOOKUP(B35,L29:M38,2,TRUE)</f>
        <v>0</v>
      </c>
      <c r="L35">
        <v>6</v>
      </c>
      <c r="M35" s="233">
        <v>14592</v>
      </c>
    </row>
    <row r="36" spans="1:13" x14ac:dyDescent="0.25">
      <c r="A36" t="s">
        <v>6</v>
      </c>
      <c r="B36" s="171">
        <v>0</v>
      </c>
      <c r="C36" t="e">
        <f ca="1">IF(M1&gt;2,B36,0)</f>
        <v>#N/A</v>
      </c>
      <c r="L36">
        <v>7</v>
      </c>
      <c r="M36" s="233">
        <v>18120</v>
      </c>
    </row>
    <row r="37" spans="1:13" x14ac:dyDescent="0.25">
      <c r="A37" t="s">
        <v>16</v>
      </c>
      <c r="B37" s="233">
        <v>624</v>
      </c>
      <c r="C37" t="e">
        <f ca="1">IF(M1&lt;3,0,(IF(B35&gt;0,B37,0)))</f>
        <v>#N/A</v>
      </c>
      <c r="L37">
        <v>8</v>
      </c>
      <c r="M37" s="233">
        <v>21996</v>
      </c>
    </row>
    <row r="38" spans="1:13" x14ac:dyDescent="0.25">
      <c r="A38" t="s">
        <v>17</v>
      </c>
      <c r="B38" s="233">
        <v>624</v>
      </c>
      <c r="C38">
        <f>IF(OR(B2="ja",B2="oui"),B38,0)</f>
        <v>0</v>
      </c>
      <c r="L38">
        <v>9</v>
      </c>
      <c r="M38" s="233">
        <f>IF(B35&gt;8,M37+(B35-8)*3864,0)</f>
        <v>0</v>
      </c>
    </row>
    <row r="39" spans="1:13" x14ac:dyDescent="0.25">
      <c r="A39" t="s">
        <v>18</v>
      </c>
      <c r="B39" s="234">
        <v>624</v>
      </c>
      <c r="C39" t="e">
        <f ca="1">IF(M3&gt;1,0,(IF(M4=1,B39,0)))</f>
        <v>#N/A</v>
      </c>
    </row>
    <row r="40" spans="1:13" x14ac:dyDescent="0.25">
      <c r="A40" t="s">
        <v>346</v>
      </c>
      <c r="B40">
        <f>B7</f>
        <v>0</v>
      </c>
      <c r="C40">
        <f>B40*K40</f>
        <v>0</v>
      </c>
      <c r="K40" s="233">
        <v>1992</v>
      </c>
    </row>
    <row r="41" spans="1:13" x14ac:dyDescent="0.25">
      <c r="B41">
        <f>B8</f>
        <v>0</v>
      </c>
      <c r="C41">
        <f>B41*K41</f>
        <v>0</v>
      </c>
    </row>
    <row r="42" spans="1:13" x14ac:dyDescent="0.25">
      <c r="B42">
        <f>B9</f>
        <v>0</v>
      </c>
      <c r="C42">
        <f>B42*K42</f>
        <v>0</v>
      </c>
    </row>
    <row r="43" spans="1:13" x14ac:dyDescent="0.25">
      <c r="A43" t="s">
        <v>24</v>
      </c>
      <c r="B43">
        <f>B10+B11</f>
        <v>0</v>
      </c>
      <c r="C43">
        <f>B43*K43</f>
        <v>0</v>
      </c>
      <c r="K43" s="233">
        <v>624</v>
      </c>
    </row>
    <row r="44" spans="1:13" x14ac:dyDescent="0.25">
      <c r="A44" t="s">
        <v>317</v>
      </c>
      <c r="B44" t="e">
        <f ca="1">ROUND(IF(C32=0,F44,G44),2)</f>
        <v>#N/A</v>
      </c>
      <c r="C44" t="e">
        <f ca="1">IF(M14=2,B44,0)</f>
        <v>#N/A</v>
      </c>
      <c r="F44" s="233" t="e">
        <f ca="1">IF(B21&lt;29480,2334,(IF(B21&lt;58960,(2334*1/3)+(2/3*2334*((58960-B21)/29480)),2334/3)))</f>
        <v>#N/A</v>
      </c>
      <c r="G44" s="233" t="e">
        <f ca="1">IF(C21&lt;29480,2334,(IF(C21&lt;58960,(2334*1/3)+(2/3*2334*((58960-C21)/29480)),2334/3)))</f>
        <v>#N/A</v>
      </c>
    </row>
    <row r="45" spans="1:13" x14ac:dyDescent="0.25">
      <c r="A45" t="s">
        <v>29</v>
      </c>
      <c r="C45">
        <f>B45</f>
        <v>0</v>
      </c>
    </row>
    <row r="46" spans="1:13" x14ac:dyDescent="0.25">
      <c r="A46" t="s">
        <v>25</v>
      </c>
      <c r="C46" t="e">
        <f ca="1">SUM(C31:C44)</f>
        <v>#N/A</v>
      </c>
    </row>
    <row r="48" spans="1:13" x14ac:dyDescent="0.25">
      <c r="A48" t="s">
        <v>4</v>
      </c>
      <c r="C48" t="e">
        <f ca="1">IF(M3=1,D28,C28)</f>
        <v>#N/A</v>
      </c>
    </row>
    <row r="49" spans="1:6" x14ac:dyDescent="0.25">
      <c r="A49" t="s">
        <v>26</v>
      </c>
      <c r="C49" t="e">
        <f ca="1">C46</f>
        <v>#N/A</v>
      </c>
    </row>
    <row r="50" spans="1:6" x14ac:dyDescent="0.25">
      <c r="A50" t="s">
        <v>27</v>
      </c>
      <c r="C50" t="e">
        <f ca="1">IF((C48-C49)&lt;0,0,(C48-C49))</f>
        <v>#N/A</v>
      </c>
    </row>
    <row r="51" spans="1:6" x14ac:dyDescent="0.25">
      <c r="A51" t="s">
        <v>28</v>
      </c>
      <c r="C51" t="e">
        <f ca="1">IF(H5&gt;0,"error",(ROUND(C50/12,2)))</f>
        <v>#N/A</v>
      </c>
      <c r="E51">
        <v>1376.06</v>
      </c>
    </row>
    <row r="52" spans="1:6" x14ac:dyDescent="0.25">
      <c r="A52" t="s">
        <v>33</v>
      </c>
      <c r="C52">
        <f>B45</f>
        <v>0</v>
      </c>
      <c r="E52" t="e">
        <f ca="1">C51-E51</f>
        <v>#N/A</v>
      </c>
      <c r="F52" t="e">
        <f ca="1">E52*12</f>
        <v>#N/A</v>
      </c>
    </row>
    <row r="56" spans="1:6" x14ac:dyDescent="0.25">
      <c r="C56" s="10"/>
      <c r="D56" s="10"/>
      <c r="E56" s="10"/>
    </row>
    <row r="57" spans="1:6" x14ac:dyDescent="0.25">
      <c r="C57" s="10"/>
      <c r="D57" s="10"/>
      <c r="E57" s="10"/>
    </row>
    <row r="58" spans="1:6" x14ac:dyDescent="0.25">
      <c r="C58" s="10"/>
      <c r="D58" s="10"/>
      <c r="E58" s="10"/>
    </row>
    <row r="59" spans="1:6" x14ac:dyDescent="0.25">
      <c r="C59" s="10"/>
      <c r="D59" s="10"/>
      <c r="E59" s="10"/>
    </row>
  </sheetData>
  <sheetProtection algorithmName="SHA-512" hashValue="cxS2O4WmIJaXVUj0Bzz8idNTgGC4CeNxeET8IkDPis/HyRGJtb29lkoTUfeeYnKKUxE85cRbahdmD9OepfbEVg==" saltValue="GoXYQdZxSEXXVVn4g0krm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9249-4D1F-4EDB-8269-EDF5E265D6A6}">
  <sheetPr codeName="Blad2"/>
  <dimension ref="A1:T51"/>
  <sheetViews>
    <sheetView workbookViewId="0">
      <selection activeCell="C4" sqref="C4"/>
    </sheetView>
  </sheetViews>
  <sheetFormatPr defaultRowHeight="15" x14ac:dyDescent="0.25"/>
  <cols>
    <col min="1" max="1" width="76" bestFit="1" customWidth="1"/>
    <col min="6" max="6" width="11.28515625" customWidth="1"/>
    <col min="12" max="12" width="10.5703125" bestFit="1" customWidth="1"/>
    <col min="14" max="14" width="75.7109375" bestFit="1" customWidth="1"/>
    <col min="16" max="16" width="82.7109375" bestFit="1" customWidth="1"/>
  </cols>
  <sheetData>
    <row r="1" spans="1:17" x14ac:dyDescent="0.25">
      <c r="A1" t="s">
        <v>12</v>
      </c>
      <c r="D1" t="s">
        <v>213</v>
      </c>
      <c r="H1" t="s">
        <v>9</v>
      </c>
      <c r="L1" s="4">
        <v>36983</v>
      </c>
      <c r="N1" t="s">
        <v>253</v>
      </c>
    </row>
    <row r="2" spans="1:17" x14ac:dyDescent="0.25">
      <c r="A2" t="str">
        <f ca="1">O2</f>
        <v/>
      </c>
      <c r="B2">
        <v>1</v>
      </c>
      <c r="D2" s="2" t="s">
        <v>19</v>
      </c>
      <c r="E2">
        <v>2</v>
      </c>
      <c r="H2">
        <v>0</v>
      </c>
      <c r="N2" t="s">
        <v>254</v>
      </c>
      <c r="O2" t="str">
        <f ca="1">IF($N$3="Nederlands",P2,(IF($N$3="Français",Q2,"")))</f>
        <v/>
      </c>
      <c r="P2" t="s">
        <v>207</v>
      </c>
      <c r="Q2" t="s">
        <v>258</v>
      </c>
    </row>
    <row r="3" spans="1:17" x14ac:dyDescent="0.25">
      <c r="A3" t="str">
        <f t="shared" ref="A3:A7" ca="1" si="0">O3</f>
        <v/>
      </c>
      <c r="B3">
        <v>2</v>
      </c>
      <c r="D3" t="str">
        <f ca="1">IF($N$3="","",(IF($N$3="Nederlands","Ja",(IF($N$3="Français","Oui","")))))</f>
        <v/>
      </c>
      <c r="E3">
        <v>1</v>
      </c>
      <c r="H3">
        <v>1</v>
      </c>
      <c r="N3">
        <f ca="1">SIMUL!EZ1</f>
        <v>0</v>
      </c>
      <c r="O3" t="str">
        <f t="shared" ref="O3:O7" ca="1" si="1">IF($N$3="Nederlands",P3,(IF($N$3="Français",Q3,"")))</f>
        <v/>
      </c>
      <c r="P3" t="s">
        <v>208</v>
      </c>
      <c r="Q3" t="s">
        <v>259</v>
      </c>
    </row>
    <row r="4" spans="1:17" x14ac:dyDescent="0.25">
      <c r="A4" t="str">
        <f t="shared" ca="1" si="0"/>
        <v/>
      </c>
      <c r="B4">
        <v>3</v>
      </c>
      <c r="D4" t="str">
        <f ca="1">IF($N$3="","",(IF($N$3="Nederlands","Neen",(IF($N$3="Français","Non","")))))</f>
        <v/>
      </c>
      <c r="E4">
        <v>2</v>
      </c>
      <c r="H4">
        <v>2</v>
      </c>
      <c r="L4" s="4">
        <f ca="1">IF(TODAY()&gt;BV!Z1,0,(DATE(YEAR(TODAY()),MONTH(TODAY()),1)))</f>
        <v>46235</v>
      </c>
      <c r="O4" t="str">
        <f t="shared" ca="1" si="1"/>
        <v/>
      </c>
      <c r="P4" t="s">
        <v>209</v>
      </c>
      <c r="Q4" t="s">
        <v>314</v>
      </c>
    </row>
    <row r="5" spans="1:17" x14ac:dyDescent="0.25">
      <c r="A5" t="str">
        <f t="shared" ca="1" si="0"/>
        <v/>
      </c>
      <c r="B5">
        <v>4</v>
      </c>
      <c r="H5">
        <v>3</v>
      </c>
      <c r="L5" s="4">
        <f ca="1">DATE(YEAR(L4),(MONTH(L4)+1),1)</f>
        <v>46266</v>
      </c>
      <c r="O5" t="str">
        <f t="shared" ca="1" si="1"/>
        <v/>
      </c>
      <c r="P5" t="s">
        <v>210</v>
      </c>
      <c r="Q5" t="s">
        <v>260</v>
      </c>
    </row>
    <row r="6" spans="1:17" x14ac:dyDescent="0.25">
      <c r="A6" t="str">
        <f t="shared" ca="1" si="0"/>
        <v/>
      </c>
      <c r="B6">
        <v>5</v>
      </c>
      <c r="H6">
        <v>4</v>
      </c>
      <c r="L6" s="4">
        <f t="shared" ref="L6:L7" ca="1" si="2">DATE(YEAR(L5),(MONTH(L5)+1),1)</f>
        <v>46296</v>
      </c>
      <c r="O6" t="str">
        <f t="shared" ca="1" si="1"/>
        <v/>
      </c>
      <c r="P6" t="s">
        <v>211</v>
      </c>
      <c r="Q6" t="s">
        <v>313</v>
      </c>
    </row>
    <row r="7" spans="1:17" x14ac:dyDescent="0.25">
      <c r="A7" t="str">
        <f t="shared" ca="1" si="0"/>
        <v/>
      </c>
      <c r="B7">
        <v>6</v>
      </c>
      <c r="H7">
        <v>5</v>
      </c>
      <c r="L7" s="4">
        <f t="shared" ca="1" si="2"/>
        <v>46327</v>
      </c>
      <c r="O7" t="str">
        <f t="shared" ca="1" si="1"/>
        <v/>
      </c>
      <c r="P7" t="s">
        <v>212</v>
      </c>
      <c r="Q7" t="s">
        <v>261</v>
      </c>
    </row>
    <row r="8" spans="1:17" x14ac:dyDescent="0.25">
      <c r="H8">
        <v>6</v>
      </c>
      <c r="L8" s="4"/>
    </row>
    <row r="9" spans="1:17" x14ac:dyDescent="0.25">
      <c r="H9">
        <v>7</v>
      </c>
    </row>
    <row r="10" spans="1:17" x14ac:dyDescent="0.25">
      <c r="A10" t="str">
        <f ca="1">O10</f>
        <v/>
      </c>
      <c r="H10">
        <v>8</v>
      </c>
      <c r="O10" t="str">
        <f t="shared" ref="O10" ca="1" si="3">IF($N$3="Nederlands",P10,(IF($N$3="Français",Q10,"")))</f>
        <v/>
      </c>
      <c r="P10" t="s">
        <v>14</v>
      </c>
      <c r="Q10" t="s">
        <v>262</v>
      </c>
    </row>
    <row r="11" spans="1:17" x14ac:dyDescent="0.25">
      <c r="A11" s="2" t="s">
        <v>19</v>
      </c>
      <c r="B11">
        <v>0</v>
      </c>
      <c r="H11">
        <v>9</v>
      </c>
      <c r="P11" t="s">
        <v>19</v>
      </c>
    </row>
    <row r="12" spans="1:17" x14ac:dyDescent="0.25">
      <c r="A12" t="str">
        <f ca="1">O12</f>
        <v/>
      </c>
      <c r="B12">
        <v>1</v>
      </c>
      <c r="H12">
        <v>10</v>
      </c>
      <c r="O12" t="str">
        <f t="shared" ref="O12:O18" ca="1" si="4">IF($N$3="Nederlands",P12,(IF($N$3="Français",Q12,"")))</f>
        <v/>
      </c>
      <c r="P12" s="235" t="s">
        <v>15</v>
      </c>
      <c r="Q12" s="235" t="s">
        <v>263</v>
      </c>
    </row>
    <row r="13" spans="1:17" x14ac:dyDescent="0.25">
      <c r="A13" t="str">
        <f t="shared" ref="A13:A18" ca="1" si="5">O13</f>
        <v/>
      </c>
      <c r="B13">
        <v>2</v>
      </c>
      <c r="H13">
        <v>11</v>
      </c>
      <c r="O13" t="str">
        <f t="shared" ca="1" si="4"/>
        <v/>
      </c>
      <c r="P13" s="235" t="s">
        <v>351</v>
      </c>
      <c r="Q13" s="235" t="s">
        <v>352</v>
      </c>
    </row>
    <row r="14" spans="1:17" x14ac:dyDescent="0.25">
      <c r="A14" t="str">
        <f t="shared" ca="1" si="5"/>
        <v/>
      </c>
      <c r="B14">
        <v>4</v>
      </c>
      <c r="H14">
        <v>12</v>
      </c>
      <c r="O14" t="str">
        <f t="shared" ca="1" si="4"/>
        <v/>
      </c>
      <c r="P14" s="235" t="s">
        <v>353</v>
      </c>
      <c r="Q14" s="235" t="s">
        <v>354</v>
      </c>
    </row>
    <row r="15" spans="1:17" x14ac:dyDescent="0.25">
      <c r="A15" t="str">
        <f t="shared" ca="1" si="5"/>
        <v/>
      </c>
      <c r="B15">
        <v>1</v>
      </c>
      <c r="H15">
        <v>13</v>
      </c>
      <c r="O15" t="str">
        <f t="shared" ca="1" si="4"/>
        <v/>
      </c>
      <c r="P15" s="235" t="s">
        <v>355</v>
      </c>
      <c r="Q15" s="235" t="s">
        <v>356</v>
      </c>
    </row>
    <row r="16" spans="1:17" x14ac:dyDescent="0.25">
      <c r="A16" t="str">
        <f t="shared" ca="1" si="5"/>
        <v/>
      </c>
      <c r="B16">
        <v>3</v>
      </c>
      <c r="H16">
        <v>14</v>
      </c>
      <c r="O16" t="str">
        <f t="shared" ca="1" si="4"/>
        <v/>
      </c>
      <c r="P16" s="235" t="s">
        <v>357</v>
      </c>
      <c r="Q16" s="235" t="s">
        <v>358</v>
      </c>
    </row>
    <row r="17" spans="1:17" x14ac:dyDescent="0.25">
      <c r="A17" t="str">
        <f t="shared" ca="1" si="5"/>
        <v/>
      </c>
      <c r="B17">
        <v>4</v>
      </c>
      <c r="H17">
        <v>15</v>
      </c>
      <c r="O17" t="str">
        <f t="shared" ca="1" si="4"/>
        <v/>
      </c>
      <c r="P17" s="235" t="s">
        <v>359</v>
      </c>
      <c r="Q17" s="235" t="s">
        <v>360</v>
      </c>
    </row>
    <row r="18" spans="1:17" x14ac:dyDescent="0.25">
      <c r="A18" t="str">
        <f t="shared" ca="1" si="5"/>
        <v/>
      </c>
      <c r="B18">
        <v>4</v>
      </c>
      <c r="H18">
        <v>16</v>
      </c>
      <c r="O18" t="str">
        <f t="shared" ca="1" si="4"/>
        <v/>
      </c>
      <c r="P18" s="235" t="s">
        <v>361</v>
      </c>
      <c r="Q18" s="235" t="s">
        <v>362</v>
      </c>
    </row>
    <row r="19" spans="1:17" x14ac:dyDescent="0.25">
      <c r="H19">
        <v>17</v>
      </c>
    </row>
    <row r="20" spans="1:17" x14ac:dyDescent="0.25">
      <c r="H20">
        <v>18</v>
      </c>
    </row>
    <row r="21" spans="1:17" x14ac:dyDescent="0.25">
      <c r="A21" t="s">
        <v>214</v>
      </c>
      <c r="H21">
        <v>19</v>
      </c>
    </row>
    <row r="22" spans="1:17" x14ac:dyDescent="0.25">
      <c r="A22" t="str">
        <f ca="1">IF($N$3="","",(IF($N$3="Nederlands","Contractueel",(IF($N$3="Français","Contractuel(le)","")))))</f>
        <v/>
      </c>
      <c r="B22">
        <v>1</v>
      </c>
      <c r="H22">
        <v>20</v>
      </c>
    </row>
    <row r="23" spans="1:17" x14ac:dyDescent="0.25">
      <c r="A23" t="str">
        <f ca="1">IF($N$3="","",(IF($N$3="Nederlands","Statutair",(IF($N$3="Français","Statutaire","")))))</f>
        <v/>
      </c>
      <c r="B23">
        <v>2</v>
      </c>
      <c r="H23">
        <v>21</v>
      </c>
    </row>
    <row r="24" spans="1:17" x14ac:dyDescent="0.25">
      <c r="H24">
        <v>22</v>
      </c>
    </row>
    <row r="25" spans="1:17" x14ac:dyDescent="0.25">
      <c r="A25" t="s">
        <v>215</v>
      </c>
      <c r="H25">
        <v>23</v>
      </c>
    </row>
    <row r="26" spans="1:17" x14ac:dyDescent="0.25">
      <c r="A26" t="str">
        <f ca="1">IF($N$3="","",(IF($N$3="Nederlands","Haardtoelage",(IF($N$3="Français","Allocation de foyer","")))))</f>
        <v/>
      </c>
      <c r="H26">
        <v>24</v>
      </c>
      <c r="N26" t="str">
        <f ca="1">IF($N$3="Nederlands",O26,(IF($N$3="Français",P26,"")))</f>
        <v/>
      </c>
      <c r="O26" t="s">
        <v>256</v>
      </c>
      <c r="P26" t="s">
        <v>257</v>
      </c>
    </row>
    <row r="27" spans="1:17" x14ac:dyDescent="0.25">
      <c r="A27" t="str">
        <f ca="1">IF($N$3="","",(IF($N$3="Nederlands","Standplaatstoelage",(IF($N$3="Français","Allocation de résidence","")))))</f>
        <v/>
      </c>
      <c r="H27">
        <v>25</v>
      </c>
    </row>
    <row r="28" spans="1:17" x14ac:dyDescent="0.25">
      <c r="H28">
        <v>26</v>
      </c>
    </row>
    <row r="29" spans="1:17" x14ac:dyDescent="0.25">
      <c r="H29">
        <v>27</v>
      </c>
    </row>
    <row r="30" spans="1:17" x14ac:dyDescent="0.25">
      <c r="H30">
        <v>28</v>
      </c>
    </row>
    <row r="31" spans="1:17" x14ac:dyDescent="0.25">
      <c r="H31">
        <v>29</v>
      </c>
    </row>
    <row r="32" spans="1:17" x14ac:dyDescent="0.25">
      <c r="H32">
        <v>30</v>
      </c>
    </row>
    <row r="35" spans="1:20" x14ac:dyDescent="0.25">
      <c r="A35" t="str">
        <f ca="1">R35</f>
        <v/>
      </c>
      <c r="B35">
        <v>1</v>
      </c>
      <c r="C35">
        <v>2</v>
      </c>
      <c r="D35">
        <v>3</v>
      </c>
      <c r="E35">
        <v>4</v>
      </c>
      <c r="F35">
        <v>5</v>
      </c>
      <c r="G35">
        <v>7</v>
      </c>
      <c r="H35">
        <v>8</v>
      </c>
      <c r="I35">
        <v>9</v>
      </c>
      <c r="J35">
        <v>9.8000000000000007</v>
      </c>
      <c r="K35">
        <v>11</v>
      </c>
      <c r="R35" t="str">
        <f t="shared" ref="R35" ca="1" si="6">IF($N$3="Nederlands",S35,(IF($N$3="Français",T35,"")))</f>
        <v/>
      </c>
      <c r="S35" t="s">
        <v>216</v>
      </c>
      <c r="T35" t="s">
        <v>264</v>
      </c>
    </row>
    <row r="36" spans="1:20" x14ac:dyDescent="0.25">
      <c r="A36">
        <v>1</v>
      </c>
      <c r="F36">
        <v>5354.51</v>
      </c>
    </row>
    <row r="37" spans="1:20" x14ac:dyDescent="0.25">
      <c r="A37">
        <v>2</v>
      </c>
      <c r="F37">
        <v>6693.13</v>
      </c>
    </row>
    <row r="38" spans="1:20" x14ac:dyDescent="0.25">
      <c r="A38">
        <v>3</v>
      </c>
      <c r="F38">
        <v>8031.76</v>
      </c>
    </row>
    <row r="39" spans="1:20" x14ac:dyDescent="0.25">
      <c r="A39">
        <v>4</v>
      </c>
      <c r="F39">
        <v>10709.01</v>
      </c>
    </row>
    <row r="40" spans="1:20" x14ac:dyDescent="0.25">
      <c r="A40">
        <v>5</v>
      </c>
      <c r="F40">
        <v>12047.63</v>
      </c>
    </row>
    <row r="41" spans="1:20" x14ac:dyDescent="0.25">
      <c r="A41">
        <v>6</v>
      </c>
      <c r="F41">
        <v>13386.26</v>
      </c>
    </row>
    <row r="43" spans="1:20" x14ac:dyDescent="0.25">
      <c r="A43" t="str">
        <f ca="1">O43</f>
        <v/>
      </c>
      <c r="O43" t="str">
        <f t="shared" ref="O43:O47" ca="1" si="7">IF($N$3="Nederlands",P43,(IF($N$3="Français",Q43,"")))</f>
        <v/>
      </c>
      <c r="P43" t="s">
        <v>318</v>
      </c>
      <c r="Q43" t="s">
        <v>323</v>
      </c>
    </row>
    <row r="44" spans="1:20" x14ac:dyDescent="0.25">
      <c r="A44" t="str">
        <f t="shared" ref="A44:A47" ca="1" si="8">O44</f>
        <v/>
      </c>
      <c r="B44" s="1">
        <v>0.62</v>
      </c>
      <c r="O44" t="str">
        <f t="shared" ca="1" si="7"/>
        <v/>
      </c>
      <c r="P44" t="s">
        <v>319</v>
      </c>
      <c r="Q44" t="s">
        <v>324</v>
      </c>
    </row>
    <row r="45" spans="1:20" x14ac:dyDescent="0.25">
      <c r="A45" t="str">
        <f t="shared" ca="1" si="8"/>
        <v/>
      </c>
      <c r="B45" s="1">
        <v>0.66</v>
      </c>
      <c r="O45" t="str">
        <f t="shared" ca="1" si="7"/>
        <v/>
      </c>
      <c r="P45" t="s">
        <v>320</v>
      </c>
      <c r="Q45" t="s">
        <v>325</v>
      </c>
    </row>
    <row r="46" spans="1:20" x14ac:dyDescent="0.25">
      <c r="A46" t="str">
        <f t="shared" ca="1" si="8"/>
        <v/>
      </c>
      <c r="B46" s="1">
        <v>0.7</v>
      </c>
      <c r="O46" t="str">
        <f t="shared" ca="1" si="7"/>
        <v/>
      </c>
      <c r="P46" t="s">
        <v>321</v>
      </c>
      <c r="Q46" t="s">
        <v>326</v>
      </c>
    </row>
    <row r="47" spans="1:20" x14ac:dyDescent="0.25">
      <c r="A47" t="str">
        <f t="shared" ca="1" si="8"/>
        <v/>
      </c>
      <c r="B47" s="1">
        <v>0.74</v>
      </c>
      <c r="O47" t="str">
        <f t="shared" ca="1" si="7"/>
        <v/>
      </c>
      <c r="P47" t="s">
        <v>322</v>
      </c>
      <c r="Q47" t="s">
        <v>340</v>
      </c>
    </row>
    <row r="50" spans="1:9" x14ac:dyDescent="0.25">
      <c r="A50" t="str">
        <f ca="1">G50</f>
        <v/>
      </c>
      <c r="G50" t="str">
        <f t="shared" ref="G50:G51" ca="1" si="9">IF($N$3="Nederlands",H50,(IF($N$3="Français",I50,"")))</f>
        <v/>
      </c>
      <c r="H50" t="s">
        <v>328</v>
      </c>
      <c r="I50" t="s">
        <v>329</v>
      </c>
    </row>
    <row r="51" spans="1:9" x14ac:dyDescent="0.25">
      <c r="A51" t="str">
        <f ca="1">G51</f>
        <v/>
      </c>
      <c r="G51" t="str">
        <f t="shared" ca="1" si="9"/>
        <v/>
      </c>
      <c r="H51" t="s">
        <v>330</v>
      </c>
      <c r="I51" t="s">
        <v>331</v>
      </c>
    </row>
  </sheetData>
  <sheetProtection algorithmName="SHA-512" hashValue="fV8vt5W27AtqxyYx6RrDb/uu7j3PwXV1cfiFMLLMEHClp7hhrd62FApE5gdlNtiIiGEhscZMQluuNkG3z9VhJw==" saltValue="llXJ9MxsrOhGUXm5WEBFc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C9BF-E528-4AC0-B6C3-1B5FEBBB45D0}">
  <dimension ref="A1:AC86"/>
  <sheetViews>
    <sheetView topLeftCell="A16" workbookViewId="0">
      <selection activeCell="C4" sqref="C4"/>
    </sheetView>
  </sheetViews>
  <sheetFormatPr defaultRowHeight="15" x14ac:dyDescent="0.25"/>
  <cols>
    <col min="1" max="1" width="21.140625" bestFit="1" customWidth="1"/>
    <col min="2" max="2" width="10.5703125" bestFit="1" customWidth="1"/>
    <col min="4" max="4" width="13.28515625" bestFit="1" customWidth="1"/>
    <col min="5" max="5" width="20.7109375" bestFit="1" customWidth="1"/>
    <col min="6" max="6" width="9.5703125" bestFit="1" customWidth="1"/>
    <col min="7" max="7" width="10.28515625" customWidth="1"/>
    <col min="8" max="8" width="12" customWidth="1"/>
    <col min="11" max="11" width="17.7109375" bestFit="1" customWidth="1"/>
    <col min="12" max="12" width="12.42578125" bestFit="1" customWidth="1"/>
    <col min="13" max="13" width="12.7109375" bestFit="1" customWidth="1"/>
  </cols>
  <sheetData>
    <row r="1" spans="1:29" x14ac:dyDescent="0.25">
      <c r="A1">
        <f ca="1">SIMUL!EZ1</f>
        <v>0</v>
      </c>
      <c r="B1" t="s">
        <v>217</v>
      </c>
      <c r="K1" s="265" t="s">
        <v>125</v>
      </c>
      <c r="L1" s="265"/>
      <c r="M1" s="288">
        <v>138.01</v>
      </c>
      <c r="N1" s="288"/>
      <c r="O1" s="58"/>
      <c r="V1" s="265" t="s">
        <v>332</v>
      </c>
      <c r="W1" s="265"/>
      <c r="X1" s="265"/>
      <c r="Y1" s="265"/>
      <c r="Z1" s="265"/>
      <c r="AA1" s="265"/>
      <c r="AB1" s="265"/>
      <c r="AC1" s="265"/>
    </row>
    <row r="2" spans="1:29" x14ac:dyDescent="0.25">
      <c r="B2" s="4">
        <f>SIMUL!B4</f>
        <v>0</v>
      </c>
      <c r="D2" t="e">
        <f>VLOOKUP(B2,L5:O52,4,TRUE)</f>
        <v>#N/A</v>
      </c>
      <c r="E2">
        <f>YEAR(B2)</f>
        <v>1900</v>
      </c>
      <c r="K2" s="57" t="s">
        <v>126</v>
      </c>
      <c r="L2" s="57" t="s">
        <v>127</v>
      </c>
      <c r="M2" s="288"/>
      <c r="N2" s="288"/>
      <c r="O2" s="58"/>
      <c r="V2" s="272" t="s">
        <v>333</v>
      </c>
      <c r="W2" s="265" t="s">
        <v>334</v>
      </c>
      <c r="X2" s="265"/>
      <c r="Y2" s="265"/>
      <c r="Z2" s="265" t="s">
        <v>335</v>
      </c>
      <c r="AA2" s="265"/>
      <c r="AB2" s="265"/>
    </row>
    <row r="3" spans="1:29" x14ac:dyDescent="0.25">
      <c r="B3" s="4">
        <f>DATE(YEAR(SIMUL!B7),MONTH(SIMUL!B7),1.1)</f>
        <v>1</v>
      </c>
      <c r="C3">
        <f>ROUNDDOWN(YEARFRAC(B3,B2,),0)</f>
        <v>0</v>
      </c>
      <c r="K3" s="289" t="s">
        <v>128</v>
      </c>
      <c r="L3" s="289" t="s">
        <v>218</v>
      </c>
      <c r="M3" s="289" t="s">
        <v>129</v>
      </c>
      <c r="N3" s="289"/>
      <c r="O3" s="58"/>
      <c r="V3" s="272"/>
      <c r="W3" t="s">
        <v>336</v>
      </c>
      <c r="X3" t="s">
        <v>185</v>
      </c>
      <c r="Y3" t="s">
        <v>337</v>
      </c>
      <c r="Z3" t="s">
        <v>336</v>
      </c>
      <c r="AA3" t="s">
        <v>185</v>
      </c>
      <c r="AB3" t="s">
        <v>337</v>
      </c>
      <c r="AC3" t="s">
        <v>338</v>
      </c>
    </row>
    <row r="4" spans="1:29" x14ac:dyDescent="0.25">
      <c r="C4">
        <f>IF(C3&lt;31,C3,31)</f>
        <v>0</v>
      </c>
      <c r="K4" s="289"/>
      <c r="L4" s="289"/>
      <c r="M4" s="290" t="s">
        <v>130</v>
      </c>
      <c r="N4" s="290"/>
      <c r="O4" s="58"/>
      <c r="V4">
        <v>2023</v>
      </c>
      <c r="W4" s="1">
        <v>0.28860000000000002</v>
      </c>
      <c r="X4" s="1">
        <v>0.15479999999999999</v>
      </c>
      <c r="Y4" s="1">
        <v>0.36499999999999999</v>
      </c>
      <c r="Z4" s="1">
        <v>0.23619999999999999</v>
      </c>
      <c r="AA4" s="1">
        <v>5.2600000000000001E-2</v>
      </c>
      <c r="AB4" s="222">
        <v>0</v>
      </c>
      <c r="AC4" s="1">
        <v>1.5E-3</v>
      </c>
    </row>
    <row r="5" spans="1:29" x14ac:dyDescent="0.25">
      <c r="K5" s="59">
        <v>32721</v>
      </c>
      <c r="L5" s="59">
        <v>32874</v>
      </c>
      <c r="M5" s="59" t="s">
        <v>131</v>
      </c>
      <c r="N5" s="60">
        <v>1</v>
      </c>
      <c r="O5" s="61">
        <f t="shared" ref="O5:O18" si="0">ROUND(N5,4)</f>
        <v>1</v>
      </c>
      <c r="V5">
        <v>2024</v>
      </c>
      <c r="W5" s="1">
        <f>W4</f>
        <v>0.28860000000000002</v>
      </c>
      <c r="X5" s="1">
        <f>X4</f>
        <v>0.15479999999999999</v>
      </c>
      <c r="Y5" s="1">
        <v>0.375</v>
      </c>
      <c r="Z5" s="1">
        <f t="shared" ref="Z5:AC7" si="1">Z4</f>
        <v>0.23619999999999999</v>
      </c>
      <c r="AA5" s="1">
        <f t="shared" si="1"/>
        <v>5.2600000000000001E-2</v>
      </c>
      <c r="AB5" s="1">
        <f t="shared" si="1"/>
        <v>0</v>
      </c>
      <c r="AC5" s="1">
        <f t="shared" si="1"/>
        <v>1.5E-3</v>
      </c>
    </row>
    <row r="6" spans="1:29" x14ac:dyDescent="0.25">
      <c r="K6" s="59">
        <v>32905</v>
      </c>
      <c r="L6" s="59">
        <v>32905</v>
      </c>
      <c r="M6" s="59" t="s">
        <v>131</v>
      </c>
      <c r="N6" s="60">
        <v>1.02</v>
      </c>
      <c r="O6" s="61">
        <f t="shared" si="0"/>
        <v>1.02</v>
      </c>
      <c r="V6">
        <v>2025</v>
      </c>
      <c r="W6" s="1">
        <f t="shared" ref="W6:Y7" si="2">W5</f>
        <v>0.28860000000000002</v>
      </c>
      <c r="X6" s="1">
        <f t="shared" si="2"/>
        <v>0.15479999999999999</v>
      </c>
      <c r="Y6" s="1">
        <f>Y5</f>
        <v>0.375</v>
      </c>
      <c r="Z6" s="1">
        <f t="shared" si="1"/>
        <v>0.23619999999999999</v>
      </c>
      <c r="AA6" s="1">
        <f t="shared" si="1"/>
        <v>5.2600000000000001E-2</v>
      </c>
      <c r="AB6" s="1">
        <f t="shared" si="1"/>
        <v>0</v>
      </c>
      <c r="AC6" s="1">
        <f t="shared" si="1"/>
        <v>1.5E-3</v>
      </c>
    </row>
    <row r="7" spans="1:29" x14ac:dyDescent="0.25">
      <c r="K7" s="59">
        <v>33178</v>
      </c>
      <c r="L7" s="59">
        <v>33147</v>
      </c>
      <c r="M7" s="59" t="s">
        <v>131</v>
      </c>
      <c r="N7" s="60">
        <f>N6*$N$6</f>
        <v>1.0404</v>
      </c>
      <c r="O7" s="61">
        <f t="shared" si="0"/>
        <v>1.0404</v>
      </c>
      <c r="V7">
        <v>2026</v>
      </c>
      <c r="W7" s="1">
        <f t="shared" si="2"/>
        <v>0.28860000000000002</v>
      </c>
      <c r="X7" s="1">
        <f t="shared" si="2"/>
        <v>0.15479999999999999</v>
      </c>
      <c r="Y7" s="1">
        <f t="shared" si="2"/>
        <v>0.375</v>
      </c>
      <c r="Z7" s="1">
        <f t="shared" si="1"/>
        <v>0.23619999999999999</v>
      </c>
      <c r="AA7" s="1">
        <f t="shared" si="1"/>
        <v>5.2600000000000001E-2</v>
      </c>
      <c r="AB7" s="1">
        <f t="shared" si="1"/>
        <v>0</v>
      </c>
      <c r="AC7" s="1">
        <f t="shared" si="1"/>
        <v>1.5E-3</v>
      </c>
    </row>
    <row r="8" spans="1:29" x14ac:dyDescent="0.25">
      <c r="B8" s="287" t="s">
        <v>46</v>
      </c>
      <c r="C8" s="287"/>
      <c r="D8" s="287"/>
      <c r="E8" t="str">
        <f ca="1">(IF(OR(BV!B1=Gegevenslijsten!O2,BV!B1=Gegevenslijsten!O3),Gegevenslijsten!O2,Gegevenslijsten!O4))</f>
        <v/>
      </c>
      <c r="K8" s="59">
        <v>33298</v>
      </c>
      <c r="L8" s="59">
        <v>33298</v>
      </c>
      <c r="M8" s="59" t="s">
        <v>131</v>
      </c>
      <c r="N8" s="60">
        <f t="shared" ref="N8:N52" si="3">N7*$N$6</f>
        <v>1.0612079999999999</v>
      </c>
      <c r="O8" s="61">
        <f t="shared" si="0"/>
        <v>1.0611999999999999</v>
      </c>
    </row>
    <row r="9" spans="1:29" x14ac:dyDescent="0.25">
      <c r="B9" s="287" t="e">
        <f>'SIMUL SSGPI'!#REF!</f>
        <v>#REF!</v>
      </c>
      <c r="C9" s="287" t="e">
        <f>'SIMUL SSGPI'!#REF!</f>
        <v>#REF!</v>
      </c>
      <c r="D9" s="287"/>
      <c r="K9" s="59">
        <v>33573</v>
      </c>
      <c r="L9" s="59">
        <v>33573</v>
      </c>
      <c r="M9" s="59" t="s">
        <v>131</v>
      </c>
      <c r="N9" s="60">
        <f t="shared" si="3"/>
        <v>1.08243216</v>
      </c>
      <c r="O9" s="61">
        <f t="shared" si="0"/>
        <v>1.0824</v>
      </c>
    </row>
    <row r="10" spans="1:29" x14ac:dyDescent="0.25">
      <c r="B10" s="287"/>
      <c r="C10" s="10" t="str">
        <f ca="1">'SIMUL SSGPI'!F28</f>
        <v/>
      </c>
      <c r="D10" s="10" t="str">
        <f ca="1">'SIMUL SSGPI'!G28</f>
        <v/>
      </c>
      <c r="K10" s="59">
        <v>33909</v>
      </c>
      <c r="L10" s="59">
        <v>33878</v>
      </c>
      <c r="M10" s="59" t="s">
        <v>131</v>
      </c>
      <c r="N10" s="60">
        <f t="shared" si="3"/>
        <v>1.1040808032</v>
      </c>
      <c r="O10" s="61">
        <f t="shared" si="0"/>
        <v>1.1041000000000001</v>
      </c>
    </row>
    <row r="11" spans="1:29" x14ac:dyDescent="0.25">
      <c r="B11" s="11" t="e">
        <f ca="1">ROUND(IF('SIMUL SSGPI'!B28&lt;1945.39,0,(IF('SIMUL SSGPI'!B28&lt;2190.19,('SIMUL SSGPI'!B28-1945.38)*0.0422,(IF('SIMUL SSGPI'!B28&lt;3737.01,10.33+('SIMUL SSGPI'!B28-2190.18)*0.011,(IF('SIMUL SSGPI'!B28&lt;4100.01,27.35+('SIMUL SSGPI'!B28-3737)*0.0338,(IF('SIMUL SSGPI'!B28&lt;6038.83,39.61+('SIMUL SSGPI'!B28-4100)*0.011,60.94))))))))),2)</f>
        <v>#N/A</v>
      </c>
      <c r="C11" s="11" t="e">
        <f ca="1">ROUND(IF('SIMUL SSGPI'!B28&lt;1945.39,0,(IF('SIMUL SSGPI'!B28&lt;2190.19,('SIMUL SSGPI'!B28-1945.38)*0.059,(IF('SIMUL SSGPI'!B28&lt;6038.83,14.44+('SIMUL SSGPI'!B28-2190.18)*0.011,60.94))))),2)</f>
        <v>#N/A</v>
      </c>
      <c r="D11" s="11" t="e">
        <f ca="1">IF(AND('SIMUL SSGPI'!B28&gt;1945.38,E11&lt;5.15),5.15,(IF(E11&gt;51.64,51.64,E11)))</f>
        <v>#N/A</v>
      </c>
      <c r="E11" t="e">
        <f ca="1">ROUND(IF('SIMUL SSGPI'!B28&lt;1095.1,0,(IF('SIMUL SSGPI'!B28&lt;1945.39,5.15,(IF('SIMUL SSGPI'!B28&lt;2190.19,('SIMUL SSGPI'!B28-1945.38)*0.059,(IF('SIMUL SSGPI'!B28&lt;6038.83,14.44+('SIMUL SSGPI'!B28-2190.18)*0.011,60.94))))))),2)</f>
        <v>#N/A</v>
      </c>
      <c r="K11" s="59">
        <v>34151</v>
      </c>
      <c r="L11" s="59">
        <v>34151</v>
      </c>
      <c r="M11" s="59" t="s">
        <v>131</v>
      </c>
      <c r="N11" s="60">
        <f t="shared" si="3"/>
        <v>1.1261624192640001</v>
      </c>
      <c r="O11" s="61">
        <f t="shared" si="0"/>
        <v>1.1262000000000001</v>
      </c>
    </row>
    <row r="12" spans="1:29" x14ac:dyDescent="0.25">
      <c r="K12" s="59">
        <v>34669</v>
      </c>
      <c r="L12" s="59">
        <v>34639</v>
      </c>
      <c r="M12" s="59" t="s">
        <v>131</v>
      </c>
      <c r="N12" s="60">
        <f t="shared" si="3"/>
        <v>1.14868566764928</v>
      </c>
      <c r="O12" s="61">
        <f t="shared" si="0"/>
        <v>1.1487000000000001</v>
      </c>
    </row>
    <row r="13" spans="1:29" x14ac:dyDescent="0.25">
      <c r="K13" s="59">
        <v>35186</v>
      </c>
      <c r="L13" s="59">
        <v>35186</v>
      </c>
      <c r="M13" s="59" t="s">
        <v>131</v>
      </c>
      <c r="N13" s="60">
        <f t="shared" si="3"/>
        <v>1.1716593810022657</v>
      </c>
      <c r="O13" s="61">
        <f t="shared" si="0"/>
        <v>1.1717</v>
      </c>
    </row>
    <row r="14" spans="1:29" x14ac:dyDescent="0.25">
      <c r="B14" s="12" t="str">
        <f ca="1">IF($A$1="","",(IF($A$1="Nederlands","Haardtoelage",(IF($A$1="Français","Allocation de foyer","")))))</f>
        <v/>
      </c>
      <c r="C14" s="12"/>
      <c r="D14" s="13" t="e">
        <f>IF(SIMUL!$B$8&lt;16100.01,720,(IF(SIMUL!$B$8&lt;16489.19,((16489.18-SIMUL!$B$8)*0.925)+360,(IF(SIMUL!$B$8&lt;18330.01,360,(IF(SIMUL!$B$8&lt;18719.19,(18719.18-SIMUL!$B$8)*0.925,0)))))))</f>
        <v>#N/A</v>
      </c>
      <c r="E14" s="13" t="e">
        <f>IF(SIMUL!$B$8&lt;16100.01,720,(IF(SIMUL!$B$8&lt;16460,(16460-SIMUL!$B$8)+360,(IF(SIMUL!$B$8&lt;18330.01,360,(IF(SIMUL!$B$8&lt;18690,(18690-SIMUL!$B$8),0)))))))</f>
        <v>#N/A</v>
      </c>
      <c r="K14" s="59">
        <v>35704</v>
      </c>
      <c r="L14" s="59">
        <v>35704</v>
      </c>
      <c r="M14" s="59" t="s">
        <v>131</v>
      </c>
      <c r="N14" s="60">
        <f t="shared" si="3"/>
        <v>1.1950925686223111</v>
      </c>
      <c r="O14" s="61">
        <f t="shared" si="0"/>
        <v>1.1951000000000001</v>
      </c>
    </row>
    <row r="15" spans="1:29" x14ac:dyDescent="0.25">
      <c r="B15" s="12" t="str">
        <f ca="1">IF($A$1="","",(IF($A$1="Nederlands","Standplaatstoelage",(IF($A$1="Français","Allocation de résidence","")))))</f>
        <v/>
      </c>
      <c r="C15" s="12"/>
      <c r="D15" s="13" t="e">
        <f>IF(SIMUL!$B$8&lt;16100.01,360,(IF(SIMUL!$B$8&lt;16294.6,((16294.59-SIMUL!$B$8)*0.925)+180,(IF(SIMUL!$B$8&lt;18330.01,180,(IF(SIMUL!$B$8&lt;18524.6,(18524.59-SIMUL!$B$8)*0.925,0)))))))</f>
        <v>#N/A</v>
      </c>
      <c r="E15" s="13" t="e">
        <f>IF(SIMUL!$B$8&lt;16100.01,360,(IF(SIMUL!$B$8&lt;16280.01,((16280-SIMUL!$B$8))+180,(IF(SIMUL!$B$8&lt;18330.01,180,(IF(SIMUL!$B$8&lt;18510.01,(18510-SIMUL!$B$8),0)))))))</f>
        <v>#N/A</v>
      </c>
      <c r="K15" s="59">
        <v>36312</v>
      </c>
      <c r="L15" s="59">
        <v>36312</v>
      </c>
      <c r="M15" s="59" t="s">
        <v>131</v>
      </c>
      <c r="N15" s="60">
        <f t="shared" si="3"/>
        <v>1.2189944199947573</v>
      </c>
      <c r="O15" s="61">
        <f t="shared" si="0"/>
        <v>1.2190000000000001</v>
      </c>
    </row>
    <row r="16" spans="1:29" x14ac:dyDescent="0.25">
      <c r="K16" s="59">
        <v>36770</v>
      </c>
      <c r="L16" s="59">
        <v>36770</v>
      </c>
      <c r="M16" s="59" t="s">
        <v>131</v>
      </c>
      <c r="N16" s="60">
        <f t="shared" si="3"/>
        <v>1.2433743083946525</v>
      </c>
      <c r="O16" s="61">
        <f t="shared" si="0"/>
        <v>1.2434000000000001</v>
      </c>
    </row>
    <row r="17" spans="2:19" x14ac:dyDescent="0.25">
      <c r="B17" t="e">
        <f>ROUND(IF(SIMUL!B5="statutair",VLOOKUP(SIMUL!#REF!,BBSZ!B14:E15,3),VLOOKUP(SIMUL!#REF!,BBSZ!B14:E15,4)),2)</f>
        <v>#REF!</v>
      </c>
      <c r="K17" s="59">
        <v>37043</v>
      </c>
      <c r="L17" s="59">
        <v>37073</v>
      </c>
      <c r="M17" s="59" t="s">
        <v>131</v>
      </c>
      <c r="N17" s="60">
        <f t="shared" si="3"/>
        <v>1.2682417945625455</v>
      </c>
      <c r="O17" s="61">
        <f t="shared" si="0"/>
        <v>1.2682</v>
      </c>
    </row>
    <row r="18" spans="2:19" x14ac:dyDescent="0.25">
      <c r="K18" s="62">
        <v>37288</v>
      </c>
      <c r="L18" s="62">
        <v>37316</v>
      </c>
      <c r="M18" s="62" t="s">
        <v>131</v>
      </c>
      <c r="N18" s="60">
        <f t="shared" si="3"/>
        <v>1.2936066304537963</v>
      </c>
      <c r="O18" s="61">
        <f t="shared" si="0"/>
        <v>1.2936000000000001</v>
      </c>
      <c r="P18" s="291" t="s">
        <v>219</v>
      </c>
      <c r="Q18" s="291"/>
      <c r="R18" s="291"/>
      <c r="S18" s="291"/>
    </row>
    <row r="19" spans="2:19" x14ac:dyDescent="0.25">
      <c r="K19" s="59">
        <v>37773</v>
      </c>
      <c r="L19" s="59">
        <v>37803</v>
      </c>
      <c r="M19" s="59" t="s">
        <v>131</v>
      </c>
      <c r="N19" s="60">
        <f t="shared" si="3"/>
        <v>1.3194787630628724</v>
      </c>
      <c r="O19" s="61">
        <f>ROUND(N19,4)</f>
        <v>1.3194999999999999</v>
      </c>
      <c r="P19" s="63"/>
      <c r="Q19" s="63"/>
      <c r="R19" s="63"/>
    </row>
    <row r="20" spans="2:19" x14ac:dyDescent="0.25">
      <c r="B20" t="e">
        <f>IF(SIMUL!#REF!="ja",122.71,0)</f>
        <v>#REF!</v>
      </c>
      <c r="K20" s="59">
        <v>38261</v>
      </c>
      <c r="L20" s="59">
        <v>38292</v>
      </c>
      <c r="M20" s="59" t="s">
        <v>131</v>
      </c>
      <c r="N20" s="60">
        <f t="shared" si="3"/>
        <v>1.3458683383241299</v>
      </c>
      <c r="O20" s="61">
        <f t="shared" ref="O20:O52" si="4">ROUND(N20,4)</f>
        <v>1.3459000000000001</v>
      </c>
    </row>
    <row r="21" spans="2:19" x14ac:dyDescent="0.25">
      <c r="K21" s="59">
        <v>38565</v>
      </c>
      <c r="L21" s="59">
        <v>38596</v>
      </c>
      <c r="M21" s="59" t="s">
        <v>131</v>
      </c>
      <c r="N21" s="60">
        <f t="shared" si="3"/>
        <v>1.3727857050906125</v>
      </c>
      <c r="O21" s="61">
        <f t="shared" si="4"/>
        <v>1.3728</v>
      </c>
    </row>
    <row r="22" spans="2:19" x14ac:dyDescent="0.25">
      <c r="K22" s="59">
        <v>38991</v>
      </c>
      <c r="L22" s="59">
        <v>39022</v>
      </c>
      <c r="M22" s="59" t="s">
        <v>131</v>
      </c>
      <c r="N22" s="60">
        <f t="shared" si="3"/>
        <v>1.4002414191924248</v>
      </c>
      <c r="O22" s="61">
        <f t="shared" si="4"/>
        <v>1.4001999999999999</v>
      </c>
    </row>
    <row r="23" spans="2:19" x14ac:dyDescent="0.25">
      <c r="B23" t="s">
        <v>137</v>
      </c>
      <c r="K23" s="59">
        <v>39448</v>
      </c>
      <c r="L23" s="59">
        <v>39479</v>
      </c>
      <c r="M23" s="59" t="s">
        <v>131</v>
      </c>
      <c r="N23" s="60">
        <f t="shared" si="3"/>
        <v>1.4282462475762734</v>
      </c>
      <c r="O23" s="61">
        <f t="shared" si="4"/>
        <v>1.4281999999999999</v>
      </c>
    </row>
    <row r="24" spans="2:19" x14ac:dyDescent="0.25">
      <c r="B24" t="e">
        <f ca="1">ROUND('SIMUL SSGPI'!#REF!*'SIMUL SSGPI'!B9/(breuk*'SIMUL SSGPI'!B8),2)</f>
        <v>#REF!</v>
      </c>
      <c r="C24" t="e">
        <f ca="1">IF(B24&lt;B25,C25,(IF(B24&lt;B26,C26,(IF(B24&lt;B27,C27,C28)))))</f>
        <v>#REF!</v>
      </c>
      <c r="D24" t="e">
        <f ca="1">ROUND(C24*'SIMUL SSGPI'!B8*breuk/'SIMUL SSGPI'!B9,2)</f>
        <v>#REF!</v>
      </c>
      <c r="K24" s="59">
        <v>39569</v>
      </c>
      <c r="L24" s="59">
        <v>39600</v>
      </c>
      <c r="M24" s="59" t="s">
        <v>131</v>
      </c>
      <c r="N24" s="60">
        <f t="shared" si="3"/>
        <v>1.4568111725277988</v>
      </c>
      <c r="O24" s="61">
        <f t="shared" si="4"/>
        <v>1.4568000000000001</v>
      </c>
    </row>
    <row r="25" spans="2:19" x14ac:dyDescent="0.25">
      <c r="B25">
        <v>2054.0100000000002</v>
      </c>
      <c r="C25">
        <v>267.42</v>
      </c>
      <c r="K25" s="59">
        <v>39692</v>
      </c>
      <c r="L25" s="59">
        <v>39722</v>
      </c>
      <c r="M25" s="59" t="s">
        <v>131</v>
      </c>
      <c r="N25" s="60">
        <f t="shared" si="3"/>
        <v>1.4859473959783549</v>
      </c>
      <c r="O25" s="61">
        <f t="shared" si="4"/>
        <v>1.4859</v>
      </c>
    </row>
    <row r="26" spans="2:19" x14ac:dyDescent="0.25">
      <c r="B26">
        <v>2623</v>
      </c>
      <c r="C26" t="e">
        <f ca="1">ROUND(267.42-(0.2579*(B24-2054.01)),2)</f>
        <v>#REF!</v>
      </c>
      <c r="K26" s="59">
        <v>40422</v>
      </c>
      <c r="L26" s="59">
        <v>40452</v>
      </c>
      <c r="M26" s="59" t="s">
        <v>131</v>
      </c>
      <c r="N26" s="60">
        <f t="shared" si="3"/>
        <v>1.5156663438979221</v>
      </c>
      <c r="O26" s="61">
        <f t="shared" si="4"/>
        <v>1.5157</v>
      </c>
    </row>
    <row r="27" spans="2:19" x14ac:dyDescent="0.25">
      <c r="B27">
        <v>3144.45</v>
      </c>
      <c r="C27" t="e">
        <f ca="1">ROUND(252.26-(0.2313*(B24-2054.01)),2)</f>
        <v>#REF!</v>
      </c>
      <c r="K27" s="59">
        <v>40664</v>
      </c>
      <c r="L27" s="59">
        <v>40695</v>
      </c>
      <c r="M27" s="59" t="s">
        <v>131</v>
      </c>
      <c r="N27" s="60">
        <f t="shared" si="3"/>
        <v>1.5459796707758806</v>
      </c>
      <c r="O27" s="61">
        <f t="shared" si="4"/>
        <v>1.546</v>
      </c>
    </row>
    <row r="28" spans="2:19" x14ac:dyDescent="0.25">
      <c r="C28">
        <v>0</v>
      </c>
      <c r="K28" s="59">
        <v>40940</v>
      </c>
      <c r="L28" s="59">
        <v>40969</v>
      </c>
      <c r="M28" s="59" t="s">
        <v>131</v>
      </c>
      <c r="N28" s="60">
        <f t="shared" si="3"/>
        <v>1.5768992641913981</v>
      </c>
      <c r="O28" s="61">
        <f t="shared" si="4"/>
        <v>1.5769</v>
      </c>
    </row>
    <row r="29" spans="2:19" x14ac:dyDescent="0.25">
      <c r="K29" s="59">
        <v>41244</v>
      </c>
      <c r="L29" s="59">
        <v>41275</v>
      </c>
      <c r="M29" s="59" t="s">
        <v>131</v>
      </c>
      <c r="N29" s="60">
        <f t="shared" si="3"/>
        <v>1.6084372494752261</v>
      </c>
      <c r="O29" s="61">
        <f t="shared" si="4"/>
        <v>1.6084000000000001</v>
      </c>
    </row>
    <row r="30" spans="2:19" x14ac:dyDescent="0.25">
      <c r="K30" s="59">
        <v>42522</v>
      </c>
      <c r="L30" s="59">
        <v>42552</v>
      </c>
      <c r="M30" s="59" t="s">
        <v>131</v>
      </c>
      <c r="N30" s="60">
        <f t="shared" si="3"/>
        <v>1.6406059944647307</v>
      </c>
      <c r="O30" s="61">
        <f t="shared" si="4"/>
        <v>1.6406000000000001</v>
      </c>
    </row>
    <row r="31" spans="2:19" x14ac:dyDescent="0.25">
      <c r="K31" s="59">
        <v>42887</v>
      </c>
      <c r="L31" s="59">
        <v>42917</v>
      </c>
      <c r="M31" s="59" t="s">
        <v>131</v>
      </c>
      <c r="N31" s="60">
        <f t="shared" si="3"/>
        <v>1.6734181143540252</v>
      </c>
      <c r="O31" s="61">
        <f t="shared" si="4"/>
        <v>1.6734</v>
      </c>
    </row>
    <row r="32" spans="2:19" x14ac:dyDescent="0.25">
      <c r="K32" s="59">
        <v>43344</v>
      </c>
      <c r="L32" s="59">
        <v>43374</v>
      </c>
      <c r="M32" s="59" t="s">
        <v>131</v>
      </c>
      <c r="N32" s="60">
        <f t="shared" si="3"/>
        <v>1.7068864766411058</v>
      </c>
      <c r="O32" s="61">
        <f t="shared" si="4"/>
        <v>1.7069000000000001</v>
      </c>
    </row>
    <row r="33" spans="1:15" x14ac:dyDescent="0.25">
      <c r="K33" s="59">
        <v>43891</v>
      </c>
      <c r="L33" s="59">
        <v>43922</v>
      </c>
      <c r="M33" s="59" t="s">
        <v>131</v>
      </c>
      <c r="N33" s="60">
        <f t="shared" si="3"/>
        <v>1.7410242061739281</v>
      </c>
      <c r="O33" s="61">
        <f t="shared" si="4"/>
        <v>1.7410000000000001</v>
      </c>
    </row>
    <row r="34" spans="1:15" x14ac:dyDescent="0.25">
      <c r="K34" s="59">
        <v>44440</v>
      </c>
      <c r="L34" s="59">
        <v>44470</v>
      </c>
      <c r="M34" s="59" t="s">
        <v>131</v>
      </c>
      <c r="N34" s="60">
        <f t="shared" si="3"/>
        <v>1.7758446902974065</v>
      </c>
      <c r="O34" s="61">
        <f t="shared" si="4"/>
        <v>1.7758</v>
      </c>
    </row>
    <row r="35" spans="1:15" x14ac:dyDescent="0.25">
      <c r="K35" s="59">
        <v>44562</v>
      </c>
      <c r="L35" s="59">
        <v>44593</v>
      </c>
      <c r="M35" s="59" t="s">
        <v>131</v>
      </c>
      <c r="N35" s="60">
        <f t="shared" si="3"/>
        <v>1.8113615841033548</v>
      </c>
      <c r="O35" s="61">
        <f t="shared" si="4"/>
        <v>1.8113999999999999</v>
      </c>
    </row>
    <row r="36" spans="1:15" x14ac:dyDescent="0.25">
      <c r="K36" s="59">
        <v>44621</v>
      </c>
      <c r="L36" s="59">
        <v>44652</v>
      </c>
      <c r="M36" s="59" t="s">
        <v>131</v>
      </c>
      <c r="N36" s="60">
        <f t="shared" si="3"/>
        <v>1.8475888157854219</v>
      </c>
      <c r="O36" s="61">
        <f t="shared" si="4"/>
        <v>1.8475999999999999</v>
      </c>
    </row>
    <row r="37" spans="1:15" x14ac:dyDescent="0.25">
      <c r="K37" s="59">
        <v>44682</v>
      </c>
      <c r="L37" s="59">
        <v>44713</v>
      </c>
      <c r="M37" s="59" t="s">
        <v>131</v>
      </c>
      <c r="N37" s="60">
        <f t="shared" si="3"/>
        <v>1.8845405921011305</v>
      </c>
      <c r="O37" s="61">
        <f t="shared" si="4"/>
        <v>1.8845000000000001</v>
      </c>
    </row>
    <row r="38" spans="1:15" x14ac:dyDescent="0.25">
      <c r="K38" s="59">
        <v>44774</v>
      </c>
      <c r="L38" s="59">
        <v>44805</v>
      </c>
      <c r="M38" s="59" t="s">
        <v>131</v>
      </c>
      <c r="N38" s="60">
        <f t="shared" si="3"/>
        <v>1.9222314039431532</v>
      </c>
      <c r="O38" s="61">
        <f t="shared" si="4"/>
        <v>1.9221999999999999</v>
      </c>
    </row>
    <row r="39" spans="1:15" x14ac:dyDescent="0.25">
      <c r="A39" t="s">
        <v>250</v>
      </c>
      <c r="K39" s="64">
        <v>44866</v>
      </c>
      <c r="L39" s="64">
        <v>44896</v>
      </c>
      <c r="M39" s="59" t="s">
        <v>131</v>
      </c>
      <c r="N39" s="60">
        <f t="shared" si="3"/>
        <v>1.9606760320220162</v>
      </c>
      <c r="O39" s="61">
        <f t="shared" si="4"/>
        <v>1.9607000000000001</v>
      </c>
    </row>
    <row r="40" spans="1:15" x14ac:dyDescent="0.25">
      <c r="A40" t="s">
        <v>251</v>
      </c>
      <c r="B40">
        <f>20</f>
        <v>20</v>
      </c>
      <c r="K40" s="64">
        <v>44896</v>
      </c>
      <c r="L40" s="64">
        <v>44927</v>
      </c>
      <c r="M40" s="59" t="s">
        <v>131</v>
      </c>
      <c r="N40" s="60">
        <f t="shared" si="3"/>
        <v>1.9998895526624565</v>
      </c>
      <c r="O40" s="61">
        <f t="shared" si="4"/>
        <v>1.9999</v>
      </c>
    </row>
    <row r="41" spans="1:15" x14ac:dyDescent="0.25">
      <c r="A41" t="s">
        <v>252</v>
      </c>
      <c r="B41" t="e">
        <f>16.89*index</f>
        <v>#N/A</v>
      </c>
      <c r="K41" s="64">
        <v>45231</v>
      </c>
      <c r="L41" s="64">
        <v>45261</v>
      </c>
      <c r="M41" s="59" t="s">
        <v>131</v>
      </c>
      <c r="N41" s="60">
        <f t="shared" si="3"/>
        <v>2.0398873437157055</v>
      </c>
      <c r="O41" s="61">
        <f t="shared" si="4"/>
        <v>2.0398999999999998</v>
      </c>
    </row>
    <row r="42" spans="1:15" x14ac:dyDescent="0.25">
      <c r="B42" t="e">
        <f>ROUND(B40+B41,2)</f>
        <v>#N/A</v>
      </c>
      <c r="K42" s="64">
        <v>45413</v>
      </c>
      <c r="L42" s="64">
        <v>45444</v>
      </c>
      <c r="M42" s="59" t="s">
        <v>131</v>
      </c>
      <c r="N42" s="60">
        <f t="shared" si="3"/>
        <v>2.0806850905900198</v>
      </c>
      <c r="O42" s="61">
        <f>ROUND(N42,4)</f>
        <v>2.0807000000000002</v>
      </c>
    </row>
    <row r="43" spans="1:15" x14ac:dyDescent="0.25">
      <c r="K43" s="59">
        <v>45689</v>
      </c>
      <c r="L43" s="59">
        <v>45717</v>
      </c>
      <c r="M43" s="59" t="s">
        <v>131</v>
      </c>
      <c r="N43" s="60">
        <f t="shared" si="3"/>
        <v>2.1222987924018204</v>
      </c>
      <c r="O43" s="61">
        <f t="shared" si="4"/>
        <v>2.1223000000000001</v>
      </c>
    </row>
    <row r="44" spans="1:15" x14ac:dyDescent="0.25">
      <c r="K44" s="59">
        <v>46082</v>
      </c>
      <c r="L44" s="59">
        <v>46082</v>
      </c>
      <c r="M44" s="59" t="s">
        <v>131</v>
      </c>
      <c r="N44" s="60">
        <f t="shared" si="3"/>
        <v>2.1647447682498568</v>
      </c>
      <c r="O44" s="61">
        <f t="shared" si="4"/>
        <v>2.1646999999999998</v>
      </c>
    </row>
    <row r="45" spans="1:15" x14ac:dyDescent="0.25">
      <c r="K45" s="59">
        <v>46266</v>
      </c>
      <c r="L45" s="59">
        <v>46266</v>
      </c>
      <c r="M45" s="59" t="s">
        <v>131</v>
      </c>
      <c r="N45" s="60">
        <f t="shared" si="3"/>
        <v>2.208039663614854</v>
      </c>
      <c r="O45" s="61">
        <f t="shared" si="4"/>
        <v>2.2080000000000002</v>
      </c>
    </row>
    <row r="46" spans="1:15" x14ac:dyDescent="0.25">
      <c r="K46" s="57"/>
      <c r="L46" s="57"/>
      <c r="M46" s="59" t="s">
        <v>131</v>
      </c>
      <c r="N46" s="60">
        <f t="shared" si="3"/>
        <v>2.252200456887151</v>
      </c>
      <c r="O46" s="61">
        <f t="shared" si="4"/>
        <v>2.2522000000000002</v>
      </c>
    </row>
    <row r="47" spans="1:15" x14ac:dyDescent="0.25">
      <c r="K47" s="57"/>
      <c r="L47" s="57"/>
      <c r="M47" s="59" t="s">
        <v>131</v>
      </c>
      <c r="N47" s="60">
        <f t="shared" si="3"/>
        <v>2.2972444660248938</v>
      </c>
      <c r="O47" s="61">
        <f t="shared" si="4"/>
        <v>2.2972000000000001</v>
      </c>
    </row>
    <row r="48" spans="1:15" x14ac:dyDescent="0.25">
      <c r="K48" s="57"/>
      <c r="L48" s="57"/>
      <c r="M48" s="59" t="s">
        <v>131</v>
      </c>
      <c r="N48" s="60">
        <f t="shared" si="3"/>
        <v>2.343189355345392</v>
      </c>
      <c r="O48" s="61">
        <f t="shared" si="4"/>
        <v>2.3431999999999999</v>
      </c>
    </row>
    <row r="49" spans="1:15" x14ac:dyDescent="0.25">
      <c r="K49" s="57"/>
      <c r="L49" s="57"/>
      <c r="M49" s="59" t="s">
        <v>131</v>
      </c>
      <c r="N49" s="60">
        <f t="shared" si="3"/>
        <v>2.3900531424522997</v>
      </c>
      <c r="O49" s="61">
        <f t="shared" si="4"/>
        <v>2.3900999999999999</v>
      </c>
    </row>
    <row r="50" spans="1:15" x14ac:dyDescent="0.25">
      <c r="K50" s="57"/>
      <c r="L50" s="57"/>
      <c r="M50" s="59" t="s">
        <v>131</v>
      </c>
      <c r="N50" s="60">
        <f t="shared" si="3"/>
        <v>2.4378542053013459</v>
      </c>
      <c r="O50" s="61">
        <f t="shared" si="4"/>
        <v>2.4379</v>
      </c>
    </row>
    <row r="51" spans="1:15" x14ac:dyDescent="0.25">
      <c r="K51" s="57"/>
      <c r="L51" s="57"/>
      <c r="M51" s="59" t="s">
        <v>131</v>
      </c>
      <c r="N51" s="60">
        <f t="shared" si="3"/>
        <v>2.4866112894073726</v>
      </c>
      <c r="O51" s="61">
        <f t="shared" si="4"/>
        <v>2.4866000000000001</v>
      </c>
    </row>
    <row r="52" spans="1:15" x14ac:dyDescent="0.25">
      <c r="K52" s="57"/>
      <c r="L52" s="57"/>
      <c r="M52" s="59" t="s">
        <v>131</v>
      </c>
      <c r="N52" s="60">
        <f t="shared" si="3"/>
        <v>2.53634351519552</v>
      </c>
      <c r="O52" s="61">
        <f t="shared" si="4"/>
        <v>2.5363000000000002</v>
      </c>
    </row>
    <row r="60" spans="1:15" x14ac:dyDescent="0.25">
      <c r="A60" t="s">
        <v>221</v>
      </c>
    </row>
    <row r="61" spans="1:15" x14ac:dyDescent="0.25">
      <c r="A61" s="144"/>
      <c r="B61" s="240" t="s">
        <v>222</v>
      </c>
      <c r="C61" s="242"/>
      <c r="D61" s="240" t="s">
        <v>223</v>
      </c>
      <c r="E61" s="242"/>
      <c r="G61" s="145"/>
    </row>
    <row r="62" spans="1:15" x14ac:dyDescent="0.25">
      <c r="A62" s="144" t="s">
        <v>224</v>
      </c>
      <c r="B62" s="283"/>
      <c r="C62" s="283"/>
      <c r="D62" s="283"/>
      <c r="E62" s="283"/>
      <c r="F62" t="e">
        <f>Gegevenslijsten!#REF!</f>
        <v>#REF!</v>
      </c>
      <c r="G62" s="285" t="s">
        <v>225</v>
      </c>
      <c r="H62" s="286"/>
    </row>
    <row r="63" spans="1:15" x14ac:dyDescent="0.25">
      <c r="A63" s="275" t="s">
        <v>226</v>
      </c>
      <c r="B63" s="276"/>
      <c r="C63" s="282" t="e">
        <f>SIMUL!#REF!</f>
        <v>#REF!</v>
      </c>
      <c r="D63" s="283"/>
      <c r="E63" s="283"/>
      <c r="F63" t="e">
        <f>Gegevenslijsten!#REF!</f>
        <v>#REF!</v>
      </c>
      <c r="G63" s="280">
        <v>1540</v>
      </c>
      <c r="H63" s="281"/>
    </row>
    <row r="64" spans="1:15" x14ac:dyDescent="0.25">
      <c r="A64" s="275" t="s">
        <v>227</v>
      </c>
      <c r="B64" s="276"/>
      <c r="C64" s="282" t="e">
        <f>SIMUL!#REF!</f>
        <v>#REF!</v>
      </c>
      <c r="D64" s="283"/>
      <c r="E64" s="144" t="s">
        <v>228</v>
      </c>
      <c r="F64" t="e">
        <f>ROUND(IF((AND(F62=1,C64&gt;50)),C64*2.5,C64),0)</f>
        <v>#REF!</v>
      </c>
      <c r="G64" s="284" t="e">
        <f>5.5+((F64-C65)*0.1)</f>
        <v>#REF!</v>
      </c>
      <c r="H64" s="284"/>
    </row>
    <row r="65" spans="1:8" x14ac:dyDescent="0.25">
      <c r="A65" s="275" t="s">
        <v>229</v>
      </c>
      <c r="B65" s="276"/>
      <c r="C65" s="277" t="e">
        <f>IF(F63=1,67,82)</f>
        <v>#REF!</v>
      </c>
      <c r="D65" s="277"/>
      <c r="E65" s="144" t="s">
        <v>228</v>
      </c>
      <c r="G65" s="278" t="s">
        <v>230</v>
      </c>
      <c r="H65" s="279"/>
    </row>
    <row r="66" spans="1:8" x14ac:dyDescent="0.25">
      <c r="A66" s="275" t="s">
        <v>231</v>
      </c>
      <c r="B66" s="276"/>
      <c r="C66" s="277" t="e">
        <f>IF(G64&lt;4,4,IF(G64&gt;18,18,G64))</f>
        <v>#REF!</v>
      </c>
      <c r="D66" s="277"/>
      <c r="E66" s="144" t="s">
        <v>232</v>
      </c>
      <c r="G66" s="280">
        <f>470</f>
        <v>470</v>
      </c>
      <c r="H66" s="281"/>
    </row>
    <row r="67" spans="1:8" x14ac:dyDescent="0.25">
      <c r="G67" s="148" t="s">
        <v>233</v>
      </c>
      <c r="H67" s="149">
        <v>44927</v>
      </c>
    </row>
    <row r="68" spans="1:8" x14ac:dyDescent="0.25">
      <c r="A68" s="274"/>
      <c r="B68" s="274"/>
      <c r="C68" s="274"/>
      <c r="D68" s="274"/>
      <c r="E68" s="274"/>
      <c r="G68" s="148" t="s">
        <v>234</v>
      </c>
      <c r="H68" s="146" t="s">
        <v>220</v>
      </c>
    </row>
    <row r="69" spans="1:8" x14ac:dyDescent="0.25">
      <c r="A69" s="274" t="s">
        <v>235</v>
      </c>
      <c r="B69" s="274"/>
      <c r="C69" s="274"/>
      <c r="D69" s="274"/>
      <c r="E69" s="150" t="e">
        <f>SIMUL!#REF!</f>
        <v>#REF!</v>
      </c>
      <c r="G69" s="145"/>
      <c r="H69" s="145"/>
    </row>
    <row r="70" spans="1:8" x14ac:dyDescent="0.25">
      <c r="G70" s="145"/>
    </row>
    <row r="71" spans="1:8" x14ac:dyDescent="0.25">
      <c r="A71" s="274" t="s">
        <v>236</v>
      </c>
      <c r="B71" s="274"/>
      <c r="C71" s="274"/>
      <c r="D71" s="274"/>
      <c r="E71" s="151" t="e">
        <f>SIMUL!#REF!</f>
        <v>#REF!</v>
      </c>
      <c r="F71" s="4" t="e">
        <f>DATE(YEAR(E71),MONTH(E71),1)</f>
        <v>#REF!</v>
      </c>
      <c r="G71" s="4">
        <f>SIMUL!B4</f>
        <v>0</v>
      </c>
      <c r="H71" t="e">
        <f>ROUNDDOWN(YEARFRAC(E71,G71,),0)</f>
        <v>#REF!</v>
      </c>
    </row>
    <row r="72" spans="1:8" x14ac:dyDescent="0.25">
      <c r="G72" s="145"/>
    </row>
    <row r="73" spans="1:8" ht="20.25" x14ac:dyDescent="0.3">
      <c r="A73" s="273" t="s">
        <v>237</v>
      </c>
      <c r="B73" s="273"/>
      <c r="C73" s="273"/>
      <c r="D73" s="273"/>
      <c r="E73" s="273"/>
      <c r="F73" s="273"/>
      <c r="G73" s="273"/>
      <c r="H73" s="273"/>
    </row>
    <row r="74" spans="1:8" x14ac:dyDescent="0.25">
      <c r="A74" s="152"/>
      <c r="B74" s="153">
        <f>H67</f>
        <v>44927</v>
      </c>
      <c r="C74" s="154"/>
      <c r="D74" s="153"/>
      <c r="E74" s="154"/>
      <c r="F74" s="153"/>
      <c r="G74" s="154"/>
      <c r="H74" s="153"/>
    </row>
    <row r="75" spans="1:8" x14ac:dyDescent="0.25">
      <c r="A75" s="144" t="s">
        <v>238</v>
      </c>
      <c r="B75" s="26" t="e">
        <f>E69</f>
        <v>#REF!</v>
      </c>
      <c r="C75" s="144"/>
      <c r="D75" s="26"/>
      <c r="E75" s="144"/>
      <c r="F75" s="26"/>
      <c r="G75" s="144"/>
      <c r="H75" s="26"/>
    </row>
    <row r="76" spans="1:8" x14ac:dyDescent="0.25">
      <c r="A76" s="148" t="s">
        <v>239</v>
      </c>
      <c r="B76" s="26" t="e">
        <f>C66</f>
        <v>#REF!</v>
      </c>
      <c r="C76" s="148"/>
      <c r="D76" s="26"/>
      <c r="E76" s="148"/>
      <c r="F76" s="26"/>
      <c r="G76" s="148"/>
      <c r="H76" s="26"/>
    </row>
    <row r="77" spans="1:8" x14ac:dyDescent="0.25">
      <c r="A77" s="148" t="s">
        <v>240</v>
      </c>
      <c r="B77" s="147">
        <v>1</v>
      </c>
      <c r="C77" s="148"/>
      <c r="D77" s="147"/>
      <c r="E77" s="148"/>
      <c r="F77" s="147"/>
      <c r="G77" s="148"/>
      <c r="H77" s="147"/>
    </row>
    <row r="78" spans="1:8" x14ac:dyDescent="0.25">
      <c r="A78" s="148" t="s">
        <v>241</v>
      </c>
      <c r="B78" s="147">
        <v>12</v>
      </c>
      <c r="C78" s="148"/>
      <c r="D78" s="147"/>
      <c r="E78" s="148"/>
      <c r="F78" s="147"/>
      <c r="G78" s="148"/>
      <c r="H78" s="147"/>
    </row>
    <row r="79" spans="1:8" x14ac:dyDescent="0.25">
      <c r="A79" s="148" t="s">
        <v>242</v>
      </c>
      <c r="B79" s="155" t="e">
        <f>H71</f>
        <v>#REF!</v>
      </c>
      <c r="C79" s="148"/>
      <c r="D79" s="155"/>
      <c r="E79" s="148"/>
      <c r="F79" s="155"/>
      <c r="G79" s="148"/>
      <c r="H79" s="156"/>
    </row>
    <row r="80" spans="1:8" x14ac:dyDescent="0.25">
      <c r="A80" s="148" t="s">
        <v>243</v>
      </c>
      <c r="B80" s="26" t="e">
        <f>IF(B79=0,100,IF(B79=1,94,IF(B79=2,88,IF(B79=3,82,IF(B79=4,76,70)))))</f>
        <v>#REF!</v>
      </c>
      <c r="C80" s="148"/>
      <c r="D80" s="26"/>
      <c r="E80" s="148"/>
      <c r="F80" s="26"/>
      <c r="G80" s="148"/>
      <c r="H80" s="26"/>
    </row>
    <row r="81" spans="1:8" x14ac:dyDescent="0.25">
      <c r="A81" s="157" t="s">
        <v>244</v>
      </c>
      <c r="B81" s="158" t="e">
        <f>(IF(((B75*B76/100)*(B80/100)*(6/7))&lt;G63,G63,((B75*B76/100)*(B80/100)*(6/7))))</f>
        <v>#REF!</v>
      </c>
      <c r="C81" s="157"/>
      <c r="D81" s="158"/>
      <c r="E81" s="157"/>
      <c r="F81" s="158"/>
      <c r="G81" s="157"/>
      <c r="H81" s="158"/>
    </row>
    <row r="82" spans="1:8" x14ac:dyDescent="0.25">
      <c r="A82" s="159" t="s">
        <v>245</v>
      </c>
      <c r="B82" s="158" t="e">
        <f>B81*(B77/B78)</f>
        <v>#REF!</v>
      </c>
      <c r="C82" s="159"/>
      <c r="D82" s="158"/>
      <c r="E82" s="159"/>
      <c r="F82" s="158"/>
      <c r="G82" s="159"/>
      <c r="H82" s="158"/>
    </row>
    <row r="83" spans="1:8" x14ac:dyDescent="0.25">
      <c r="A83" s="148" t="s">
        <v>246</v>
      </c>
      <c r="B83" s="160"/>
      <c r="C83" s="148"/>
      <c r="D83" s="161"/>
      <c r="E83" s="148"/>
      <c r="F83" s="161"/>
      <c r="G83" s="148"/>
      <c r="H83" s="161"/>
    </row>
    <row r="84" spans="1:8" x14ac:dyDescent="0.25">
      <c r="A84" s="159" t="s">
        <v>247</v>
      </c>
      <c r="B84" s="158">
        <f>B83*12*B77/B78</f>
        <v>0</v>
      </c>
      <c r="C84" s="159"/>
      <c r="D84" s="158"/>
      <c r="E84" s="159"/>
      <c r="F84" s="158"/>
      <c r="G84" s="159"/>
      <c r="H84" s="158"/>
    </row>
    <row r="85" spans="1:8" x14ac:dyDescent="0.25">
      <c r="A85" s="148" t="s">
        <v>248</v>
      </c>
      <c r="B85" s="158" t="e">
        <f>ROUND(IF(B82-B84-B86&lt;0,0,B82-B84-B86),2)</f>
        <v>#REF!</v>
      </c>
      <c r="C85" s="148"/>
      <c r="D85" s="158"/>
      <c r="E85" s="148"/>
      <c r="F85" s="158"/>
      <c r="G85" s="148"/>
      <c r="H85" s="158"/>
    </row>
    <row r="86" spans="1:8" x14ac:dyDescent="0.25">
      <c r="A86" s="148" t="s">
        <v>249</v>
      </c>
      <c r="B86" s="158">
        <f>G66/12</f>
        <v>39.166666666666664</v>
      </c>
      <c r="C86" s="148"/>
      <c r="D86" s="158"/>
      <c r="E86" s="148"/>
      <c r="F86" s="158"/>
      <c r="G86" s="148"/>
      <c r="H86" s="158"/>
    </row>
  </sheetData>
  <sheetProtection algorithmName="SHA-512" hashValue="wGmJc85WQSNVuXkebQfkmpu0uOPIvJ0vQB0sXej3nEr6OygdwebnNRXrizUUAV/xlPliX6V3TxFJ7574Egp/EA==" saltValue="5rqUc4MYKSoBAHZVtP3VZA==" spinCount="100000" sheet="1" objects="1" scenarios="1"/>
  <mergeCells count="35">
    <mergeCell ref="V1:AC1"/>
    <mergeCell ref="V2:V3"/>
    <mergeCell ref="W2:Y2"/>
    <mergeCell ref="Z2:AB2"/>
    <mergeCell ref="P18:S18"/>
    <mergeCell ref="B8:D8"/>
    <mergeCell ref="B9:B10"/>
    <mergeCell ref="C9:D9"/>
    <mergeCell ref="K1:L1"/>
    <mergeCell ref="M1:N2"/>
    <mergeCell ref="K3:K4"/>
    <mergeCell ref="L3:L4"/>
    <mergeCell ref="M3:N3"/>
    <mergeCell ref="M4:N4"/>
    <mergeCell ref="B61:C61"/>
    <mergeCell ref="D61:E61"/>
    <mergeCell ref="B62:C62"/>
    <mergeCell ref="D62:E62"/>
    <mergeCell ref="G62:H62"/>
    <mergeCell ref="A63:B63"/>
    <mergeCell ref="C63:E63"/>
    <mergeCell ref="G63:H63"/>
    <mergeCell ref="A64:B64"/>
    <mergeCell ref="C64:D64"/>
    <mergeCell ref="G64:H64"/>
    <mergeCell ref="A73:H73"/>
    <mergeCell ref="A68:E68"/>
    <mergeCell ref="A69:D69"/>
    <mergeCell ref="A71:D71"/>
    <mergeCell ref="A65:B65"/>
    <mergeCell ref="C65:D65"/>
    <mergeCell ref="G65:H65"/>
    <mergeCell ref="A66:B66"/>
    <mergeCell ref="C66:D66"/>
    <mergeCell ref="G66:H6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1082-69F7-4CA5-905A-4A3443E56955}">
  <dimension ref="A1:BK49"/>
  <sheetViews>
    <sheetView topLeftCell="BF1" workbookViewId="0">
      <selection activeCell="C4" sqref="C4"/>
    </sheetView>
  </sheetViews>
  <sheetFormatPr defaultRowHeight="15" x14ac:dyDescent="0.25"/>
  <cols>
    <col min="1" max="1" width="11" customWidth="1"/>
    <col min="39" max="49" width="8.85546875" style="5"/>
    <col min="57" max="58" width="10.7109375" bestFit="1" customWidth="1"/>
  </cols>
  <sheetData>
    <row r="1" spans="1:63" s="46" customFormat="1" ht="15.75" thickBot="1" x14ac:dyDescent="0.3">
      <c r="B1" s="46">
        <f>ROUND(B36,0)</f>
        <v>1</v>
      </c>
      <c r="C1" s="46">
        <f t="shared" ref="C1:BD1" si="0">ROUND(C36,0)</f>
        <v>1</v>
      </c>
      <c r="D1" s="46">
        <f t="shared" si="0"/>
        <v>1</v>
      </c>
      <c r="E1" s="46">
        <f t="shared" si="0"/>
        <v>1</v>
      </c>
      <c r="F1" s="46">
        <f t="shared" si="0"/>
        <v>1</v>
      </c>
      <c r="G1" s="46">
        <f t="shared" si="0"/>
        <v>1</v>
      </c>
      <c r="H1" s="46">
        <f t="shared" si="0"/>
        <v>1</v>
      </c>
      <c r="I1" s="46">
        <f t="shared" si="0"/>
        <v>1</v>
      </c>
      <c r="J1" s="46">
        <f t="shared" si="0"/>
        <v>2</v>
      </c>
      <c r="K1" s="46">
        <f t="shared" si="0"/>
        <v>2</v>
      </c>
      <c r="L1" s="46">
        <f t="shared" si="0"/>
        <v>2</v>
      </c>
      <c r="M1" s="46">
        <f t="shared" si="0"/>
        <v>2</v>
      </c>
      <c r="N1" s="46">
        <f t="shared" si="0"/>
        <v>2</v>
      </c>
      <c r="O1" s="46">
        <f t="shared" si="0"/>
        <v>2</v>
      </c>
      <c r="P1" s="46">
        <v>3</v>
      </c>
      <c r="Q1" s="46">
        <v>3</v>
      </c>
      <c r="R1" s="46">
        <v>3</v>
      </c>
      <c r="S1" s="46">
        <v>3</v>
      </c>
      <c r="T1" s="46">
        <v>3</v>
      </c>
      <c r="U1" s="46">
        <v>3</v>
      </c>
      <c r="V1" s="46">
        <v>3</v>
      </c>
      <c r="W1" s="46">
        <v>3</v>
      </c>
      <c r="X1" s="46">
        <f t="shared" si="0"/>
        <v>2</v>
      </c>
      <c r="Y1" s="46">
        <f t="shared" si="0"/>
        <v>2</v>
      </c>
      <c r="Z1" s="46">
        <f t="shared" si="0"/>
        <v>2</v>
      </c>
      <c r="AA1" s="46">
        <f t="shared" si="0"/>
        <v>2</v>
      </c>
      <c r="AB1" s="46">
        <f t="shared" si="0"/>
        <v>2</v>
      </c>
      <c r="AC1" s="46">
        <f t="shared" si="0"/>
        <v>3</v>
      </c>
      <c r="AD1" s="46">
        <f t="shared" si="0"/>
        <v>3</v>
      </c>
      <c r="AE1" s="46">
        <f t="shared" si="0"/>
        <v>3</v>
      </c>
      <c r="AF1" s="46">
        <f t="shared" si="0"/>
        <v>3</v>
      </c>
      <c r="AG1" s="46">
        <f t="shared" si="0"/>
        <v>3</v>
      </c>
      <c r="AH1" s="46">
        <f t="shared" si="0"/>
        <v>3</v>
      </c>
      <c r="AI1" s="46">
        <f t="shared" si="0"/>
        <v>3</v>
      </c>
      <c r="AJ1" s="46">
        <f t="shared" si="0"/>
        <v>3</v>
      </c>
      <c r="AK1" s="46">
        <f t="shared" si="0"/>
        <v>3</v>
      </c>
      <c r="AL1" s="46">
        <f t="shared" si="0"/>
        <v>3</v>
      </c>
      <c r="AM1" s="46">
        <f t="shared" si="0"/>
        <v>3</v>
      </c>
      <c r="AN1" s="46">
        <f t="shared" si="0"/>
        <v>3</v>
      </c>
      <c r="AO1" s="46">
        <f t="shared" si="0"/>
        <v>3</v>
      </c>
      <c r="AP1" s="46">
        <f t="shared" si="0"/>
        <v>4</v>
      </c>
      <c r="AQ1" s="46">
        <f t="shared" si="0"/>
        <v>4</v>
      </c>
      <c r="AR1" s="46">
        <f t="shared" si="0"/>
        <v>4</v>
      </c>
      <c r="AS1" s="46">
        <f t="shared" si="0"/>
        <v>4</v>
      </c>
      <c r="AT1" s="46">
        <f t="shared" si="0"/>
        <v>4</v>
      </c>
      <c r="AU1" s="46">
        <f t="shared" si="0"/>
        <v>4</v>
      </c>
      <c r="AV1" s="46">
        <f t="shared" si="0"/>
        <v>4</v>
      </c>
      <c r="AW1" s="46">
        <f t="shared" si="0"/>
        <v>5</v>
      </c>
      <c r="AX1" s="46">
        <f t="shared" si="0"/>
        <v>5</v>
      </c>
      <c r="AY1" s="46">
        <f t="shared" si="0"/>
        <v>4</v>
      </c>
      <c r="AZ1" s="46">
        <f t="shared" si="0"/>
        <v>4</v>
      </c>
      <c r="BA1" s="46">
        <f t="shared" si="0"/>
        <v>4</v>
      </c>
      <c r="BB1" s="46">
        <f t="shared" si="0"/>
        <v>4</v>
      </c>
      <c r="BC1" s="46">
        <f t="shared" si="0"/>
        <v>4</v>
      </c>
      <c r="BD1" s="46">
        <f t="shared" si="0"/>
        <v>4</v>
      </c>
      <c r="BE1" s="46">
        <v>4</v>
      </c>
      <c r="BF1" s="46">
        <v>4</v>
      </c>
    </row>
    <row r="2" spans="1:63" x14ac:dyDescent="0.25">
      <c r="A2" s="15" t="s">
        <v>60</v>
      </c>
      <c r="B2" s="16" t="s">
        <v>59</v>
      </c>
      <c r="C2" s="17" t="s">
        <v>100</v>
      </c>
      <c r="D2" s="17" t="s">
        <v>101</v>
      </c>
      <c r="E2" s="18" t="s">
        <v>102</v>
      </c>
      <c r="F2" s="16" t="s">
        <v>103</v>
      </c>
      <c r="G2" s="17" t="s">
        <v>104</v>
      </c>
      <c r="H2" s="17" t="s">
        <v>105</v>
      </c>
      <c r="I2" s="18" t="s">
        <v>106</v>
      </c>
      <c r="J2" s="42" t="s">
        <v>89</v>
      </c>
      <c r="K2" s="43" t="s">
        <v>90</v>
      </c>
      <c r="L2" s="43" t="s">
        <v>91</v>
      </c>
      <c r="M2" s="43" t="s">
        <v>92</v>
      </c>
      <c r="N2" s="43" t="s">
        <v>93</v>
      </c>
      <c r="O2" s="44" t="s">
        <v>94</v>
      </c>
      <c r="P2" s="52" t="s">
        <v>114</v>
      </c>
      <c r="Q2" s="52" t="s">
        <v>115</v>
      </c>
      <c r="R2" s="52" t="s">
        <v>116</v>
      </c>
      <c r="S2" s="52" t="s">
        <v>117</v>
      </c>
      <c r="T2" s="52" t="s">
        <v>118</v>
      </c>
      <c r="U2" s="52" t="s">
        <v>119</v>
      </c>
      <c r="V2" s="52" t="s">
        <v>120</v>
      </c>
      <c r="W2" s="52" t="s">
        <v>121</v>
      </c>
      <c r="X2" s="16" t="s">
        <v>95</v>
      </c>
      <c r="Y2" s="17" t="s">
        <v>96</v>
      </c>
      <c r="Z2" s="17" t="s">
        <v>97</v>
      </c>
      <c r="AA2" s="17" t="s">
        <v>98</v>
      </c>
      <c r="AB2" s="18" t="s">
        <v>99</v>
      </c>
      <c r="AC2" s="226" t="s">
        <v>341</v>
      </c>
      <c r="AD2" s="227" t="s">
        <v>342</v>
      </c>
      <c r="AE2" s="227" t="s">
        <v>343</v>
      </c>
      <c r="AF2" s="227" t="s">
        <v>344</v>
      </c>
      <c r="AG2" s="228" t="s">
        <v>345</v>
      </c>
      <c r="AH2" s="16" t="s">
        <v>61</v>
      </c>
      <c r="AI2" s="17" t="s">
        <v>62</v>
      </c>
      <c r="AJ2" s="17" t="s">
        <v>63</v>
      </c>
      <c r="AK2" s="17" t="s">
        <v>64</v>
      </c>
      <c r="AL2" s="17" t="s">
        <v>65</v>
      </c>
      <c r="AM2" s="17" t="s">
        <v>86</v>
      </c>
      <c r="AN2" s="18" t="s">
        <v>87</v>
      </c>
      <c r="AO2" s="16" t="s">
        <v>66</v>
      </c>
      <c r="AP2" s="17" t="s">
        <v>67</v>
      </c>
      <c r="AQ2" s="17" t="s">
        <v>68</v>
      </c>
      <c r="AR2" s="17" t="s">
        <v>69</v>
      </c>
      <c r="AS2" s="17" t="s">
        <v>70</v>
      </c>
      <c r="AT2" s="18" t="s">
        <v>88</v>
      </c>
      <c r="AU2" s="16" t="s">
        <v>76</v>
      </c>
      <c r="AV2" s="17" t="s">
        <v>77</v>
      </c>
      <c r="AW2" s="17" t="s">
        <v>78</v>
      </c>
      <c r="AX2" s="17" t="s">
        <v>79</v>
      </c>
      <c r="AY2" s="17" t="s">
        <v>84</v>
      </c>
      <c r="AZ2" s="17" t="s">
        <v>80</v>
      </c>
      <c r="BA2" s="17" t="s">
        <v>81</v>
      </c>
      <c r="BB2" s="17" t="s">
        <v>82</v>
      </c>
      <c r="BC2" s="18" t="s">
        <v>83</v>
      </c>
      <c r="BD2" s="16" t="s">
        <v>72</v>
      </c>
      <c r="BE2" s="17" t="s">
        <v>73</v>
      </c>
      <c r="BF2" s="17" t="s">
        <v>74</v>
      </c>
      <c r="BG2" s="17" t="s">
        <v>85</v>
      </c>
      <c r="BH2" s="17" t="s">
        <v>75</v>
      </c>
      <c r="BI2" s="18" t="s">
        <v>71</v>
      </c>
      <c r="BJ2" s="49" t="s">
        <v>112</v>
      </c>
      <c r="BK2" s="18" t="s">
        <v>113</v>
      </c>
    </row>
    <row r="3" spans="1:63" x14ac:dyDescent="0.25">
      <c r="A3" s="19">
        <v>0</v>
      </c>
      <c r="B3" s="20">
        <v>15253.88</v>
      </c>
      <c r="C3" s="21">
        <v>15873.62</v>
      </c>
      <c r="D3" s="21">
        <v>16673.349999999999</v>
      </c>
      <c r="E3" s="22">
        <v>17673.349999999999</v>
      </c>
      <c r="F3" s="20">
        <v>15558.01</v>
      </c>
      <c r="G3" s="21">
        <v>16872.86</v>
      </c>
      <c r="H3" s="21">
        <v>18273.7</v>
      </c>
      <c r="I3" s="22">
        <v>19773.7</v>
      </c>
      <c r="J3" s="38">
        <v>15743.21</v>
      </c>
      <c r="K3" s="32">
        <v>16473.7</v>
      </c>
      <c r="L3" s="32">
        <v>18105</v>
      </c>
      <c r="M3" s="32">
        <v>19335.080000000002</v>
      </c>
      <c r="N3" s="32">
        <v>20190.45</v>
      </c>
      <c r="O3" s="39">
        <v>21068.11</v>
      </c>
      <c r="P3" s="53">
        <v>17725.05</v>
      </c>
      <c r="Q3" s="53">
        <v>23740.23</v>
      </c>
      <c r="R3" s="53">
        <v>24079.23</v>
      </c>
      <c r="S3" s="53">
        <v>24565.8</v>
      </c>
      <c r="T3" s="53">
        <v>17730.740000000002</v>
      </c>
      <c r="U3" s="53">
        <v>24045.7</v>
      </c>
      <c r="V3" s="53">
        <v>19448.82</v>
      </c>
      <c r="W3" s="53">
        <v>22269.62</v>
      </c>
      <c r="X3" s="20">
        <v>16698.14</v>
      </c>
      <c r="Y3" s="21">
        <v>17292.132249999999</v>
      </c>
      <c r="Z3" s="21">
        <v>17311.400000000001</v>
      </c>
      <c r="AA3" s="21">
        <v>21666</v>
      </c>
      <c r="AB3" s="22">
        <v>23366</v>
      </c>
      <c r="AC3" s="229">
        <v>19004</v>
      </c>
      <c r="AD3" s="230">
        <v>21504</v>
      </c>
      <c r="AE3" s="230">
        <v>23504</v>
      </c>
      <c r="AF3" s="230">
        <v>25504</v>
      </c>
      <c r="AG3" s="231">
        <v>27504</v>
      </c>
      <c r="AH3" s="20">
        <v>18532.55</v>
      </c>
      <c r="AI3" s="21">
        <v>20087.810000000001</v>
      </c>
      <c r="AJ3" s="21">
        <v>20335.7</v>
      </c>
      <c r="AK3" s="21">
        <v>20583.59</v>
      </c>
      <c r="AL3" s="21">
        <v>27296</v>
      </c>
      <c r="AM3" s="21">
        <v>20327.27</v>
      </c>
      <c r="AN3" s="22">
        <v>23054.1</v>
      </c>
      <c r="AO3" s="20">
        <v>19914.28</v>
      </c>
      <c r="AP3" s="21">
        <v>21805.71</v>
      </c>
      <c r="AQ3" s="21">
        <v>22075.91</v>
      </c>
      <c r="AR3" s="21">
        <v>22346.12</v>
      </c>
      <c r="AS3" s="21">
        <v>23346.12</v>
      </c>
      <c r="AT3" s="22">
        <v>23797.78</v>
      </c>
      <c r="AU3" s="20">
        <v>22070.95</v>
      </c>
      <c r="AV3" s="21">
        <v>24797.78</v>
      </c>
      <c r="AW3" s="21">
        <v>25789.360000000001</v>
      </c>
      <c r="AX3" s="21">
        <v>28516.19</v>
      </c>
      <c r="AY3" s="21">
        <v>30738.799999999999</v>
      </c>
      <c r="AZ3" s="21">
        <v>34961.42</v>
      </c>
      <c r="BA3" s="21">
        <v>36324.83</v>
      </c>
      <c r="BB3" s="21">
        <v>38431.93</v>
      </c>
      <c r="BC3" s="22">
        <v>42398.22</v>
      </c>
      <c r="BD3" s="20">
        <v>26653.52</v>
      </c>
      <c r="BE3" s="21">
        <v>27764.080000000002</v>
      </c>
      <c r="BF3" s="21">
        <v>29167.16</v>
      </c>
      <c r="BG3" s="21">
        <v>32583.13</v>
      </c>
      <c r="BH3" s="21">
        <v>35999.1</v>
      </c>
      <c r="BI3" s="22">
        <v>36031.33</v>
      </c>
      <c r="BJ3" s="50">
        <v>73185.81</v>
      </c>
      <c r="BK3" s="22">
        <v>65508.800000000003</v>
      </c>
    </row>
    <row r="4" spans="1:63" x14ac:dyDescent="0.25">
      <c r="A4" s="19">
        <v>1</v>
      </c>
      <c r="B4" s="20">
        <v>15501.78</v>
      </c>
      <c r="C4" s="21">
        <v>16326.31</v>
      </c>
      <c r="D4" s="21">
        <v>17020.41</v>
      </c>
      <c r="E4" s="22">
        <v>18020.41</v>
      </c>
      <c r="F4" s="20">
        <v>15825.32</v>
      </c>
      <c r="G4" s="21">
        <v>17184.95</v>
      </c>
      <c r="H4" s="21">
        <v>18721.009999999998</v>
      </c>
      <c r="I4" s="22">
        <v>20041.009999999998</v>
      </c>
      <c r="J4" s="38">
        <v>16010.52</v>
      </c>
      <c r="K4" s="32">
        <v>16741.009999999998</v>
      </c>
      <c r="L4" s="32">
        <v>18372.310000000001</v>
      </c>
      <c r="M4" s="32">
        <v>19602.39</v>
      </c>
      <c r="N4" s="32">
        <v>20457.759999999998</v>
      </c>
      <c r="O4" s="39">
        <v>21335.42</v>
      </c>
      <c r="P4" s="53">
        <v>17725.05</v>
      </c>
      <c r="Q4" s="53">
        <v>23740.23</v>
      </c>
      <c r="R4" s="53">
        <v>24079.23</v>
      </c>
      <c r="S4" s="53">
        <v>24565.8</v>
      </c>
      <c r="T4" s="53">
        <v>17730.740000000002</v>
      </c>
      <c r="U4" s="53">
        <v>24045.7</v>
      </c>
      <c r="V4" s="53">
        <v>19448.82</v>
      </c>
      <c r="W4" s="53">
        <v>22269.62</v>
      </c>
      <c r="X4" s="20">
        <v>17045.2</v>
      </c>
      <c r="Y4" s="21">
        <v>17646.060000000001</v>
      </c>
      <c r="Z4" s="21">
        <v>17732.82</v>
      </c>
      <c r="AA4" s="21">
        <v>21866</v>
      </c>
      <c r="AB4" s="22">
        <v>23566</v>
      </c>
      <c r="AC4" s="229">
        <v>19274</v>
      </c>
      <c r="AD4" s="230">
        <v>21774</v>
      </c>
      <c r="AE4" s="230">
        <v>23774</v>
      </c>
      <c r="AF4" s="230">
        <v>25774</v>
      </c>
      <c r="AG4" s="231">
        <v>27774</v>
      </c>
      <c r="AH4" s="20">
        <v>19068.009999999998</v>
      </c>
      <c r="AI4" s="21">
        <v>20653.009999999998</v>
      </c>
      <c r="AJ4" s="21">
        <v>20928.169999999998</v>
      </c>
      <c r="AK4" s="21">
        <v>21228.12</v>
      </c>
      <c r="AL4" s="21">
        <v>27566</v>
      </c>
      <c r="AM4" s="21">
        <v>20959.400000000001</v>
      </c>
      <c r="AN4" s="22">
        <v>23636.65</v>
      </c>
      <c r="AO4" s="20">
        <v>20497.93</v>
      </c>
      <c r="AP4" s="21">
        <v>22421.78</v>
      </c>
      <c r="AQ4" s="21">
        <v>22721.7</v>
      </c>
      <c r="AR4" s="21">
        <v>23048.66</v>
      </c>
      <c r="AS4" s="21">
        <v>24048.66</v>
      </c>
      <c r="AT4" s="22">
        <v>24392.73</v>
      </c>
      <c r="AU4" s="20">
        <v>22507.25</v>
      </c>
      <c r="AV4" s="21">
        <v>25392.73</v>
      </c>
      <c r="AW4" s="21">
        <v>26632.2</v>
      </c>
      <c r="AX4" s="21">
        <v>29433.4</v>
      </c>
      <c r="AY4" s="21">
        <v>31705.59</v>
      </c>
      <c r="AZ4" s="21">
        <v>35953</v>
      </c>
      <c r="BA4" s="21">
        <v>37341.199999999997</v>
      </c>
      <c r="BB4" s="21">
        <v>38431.93</v>
      </c>
      <c r="BC4" s="22">
        <v>42398.22</v>
      </c>
      <c r="BD4" s="20">
        <v>27319.86</v>
      </c>
      <c r="BE4" s="21">
        <v>28708.06</v>
      </c>
      <c r="BF4" s="21">
        <v>30139.4</v>
      </c>
      <c r="BG4" s="21">
        <v>33607.93</v>
      </c>
      <c r="BH4" s="21">
        <v>37050.17</v>
      </c>
      <c r="BI4" s="22">
        <v>37068.03</v>
      </c>
      <c r="BJ4" s="50">
        <v>73185.81</v>
      </c>
      <c r="BK4" s="22">
        <v>65508.800000000003</v>
      </c>
    </row>
    <row r="5" spans="1:63" x14ac:dyDescent="0.25">
      <c r="A5" s="19">
        <v>2</v>
      </c>
      <c r="B5" s="20">
        <v>15749.68</v>
      </c>
      <c r="C5" s="21">
        <v>16599</v>
      </c>
      <c r="D5" s="21">
        <v>17286.556</v>
      </c>
      <c r="E5" s="22">
        <v>18286.556</v>
      </c>
      <c r="F5" s="20">
        <v>16092.63</v>
      </c>
      <c r="G5" s="21">
        <v>17317.04</v>
      </c>
      <c r="H5" s="21">
        <v>18988.32</v>
      </c>
      <c r="I5" s="22">
        <v>20308.32</v>
      </c>
      <c r="J5" s="38">
        <v>16277.83</v>
      </c>
      <c r="K5" s="32">
        <v>17008.32</v>
      </c>
      <c r="L5" s="32">
        <v>18639.62</v>
      </c>
      <c r="M5" s="32">
        <v>19869.7</v>
      </c>
      <c r="N5" s="32">
        <v>20725.07</v>
      </c>
      <c r="O5" s="39">
        <v>21602.73</v>
      </c>
      <c r="P5" s="53">
        <v>17725.05</v>
      </c>
      <c r="Q5" s="53">
        <v>23740.23</v>
      </c>
      <c r="R5" s="53">
        <v>24079.23</v>
      </c>
      <c r="S5" s="53">
        <v>24565.8</v>
      </c>
      <c r="T5" s="53">
        <v>17730.740000000002</v>
      </c>
      <c r="U5" s="53">
        <v>24045.7</v>
      </c>
      <c r="V5" s="53">
        <v>19448.82</v>
      </c>
      <c r="W5" s="53">
        <v>22269.62</v>
      </c>
      <c r="X5" s="20">
        <v>17288.415250000002</v>
      </c>
      <c r="Y5" s="21">
        <v>18030.3</v>
      </c>
      <c r="Z5" s="21">
        <v>18154.240000000002</v>
      </c>
      <c r="AA5" s="21">
        <v>22066</v>
      </c>
      <c r="AB5" s="22">
        <v>23766</v>
      </c>
      <c r="AC5" s="229">
        <v>19543</v>
      </c>
      <c r="AD5" s="230">
        <v>22043</v>
      </c>
      <c r="AE5" s="230">
        <v>24043</v>
      </c>
      <c r="AF5" s="230">
        <v>26043</v>
      </c>
      <c r="AG5" s="231">
        <v>28043</v>
      </c>
      <c r="AH5" s="20">
        <v>19517.006000000001</v>
      </c>
      <c r="AI5" s="21">
        <v>21218.21</v>
      </c>
      <c r="AJ5" s="21">
        <v>21520.639999999999</v>
      </c>
      <c r="AK5" s="21">
        <v>21872.65</v>
      </c>
      <c r="AL5" s="21">
        <v>27835</v>
      </c>
      <c r="AM5" s="21">
        <v>21591.53</v>
      </c>
      <c r="AN5" s="22">
        <v>24219.200000000001</v>
      </c>
      <c r="AO5" s="20">
        <v>21081.58</v>
      </c>
      <c r="AP5" s="21">
        <v>23037.85</v>
      </c>
      <c r="AQ5" s="21">
        <v>23367.49</v>
      </c>
      <c r="AR5" s="21">
        <v>23751.200000000001</v>
      </c>
      <c r="AS5" s="21">
        <v>24751.200000000001</v>
      </c>
      <c r="AT5" s="22">
        <v>24987.68</v>
      </c>
      <c r="AU5" s="20">
        <v>22943.55</v>
      </c>
      <c r="AV5" s="21">
        <v>25987.68</v>
      </c>
      <c r="AW5" s="21">
        <v>27475.040000000001</v>
      </c>
      <c r="AX5" s="21">
        <v>30350.61</v>
      </c>
      <c r="AY5" s="21">
        <v>32672.38</v>
      </c>
      <c r="AZ5" s="21">
        <v>36895</v>
      </c>
      <c r="BA5" s="21">
        <v>38307.99</v>
      </c>
      <c r="BB5" s="21">
        <v>39919.300000000003</v>
      </c>
      <c r="BC5" s="22">
        <v>44009.53</v>
      </c>
      <c r="BD5" s="20">
        <v>27986.2</v>
      </c>
      <c r="BE5" s="21">
        <v>29652.04</v>
      </c>
      <c r="BF5" s="21">
        <v>31111.64</v>
      </c>
      <c r="BG5" s="21">
        <v>34632.730000000003</v>
      </c>
      <c r="BH5" s="21">
        <v>38048.69</v>
      </c>
      <c r="BI5" s="22">
        <v>38054.160000000003</v>
      </c>
      <c r="BJ5" s="50">
        <v>73185.81</v>
      </c>
      <c r="BK5" s="22">
        <v>65508.800000000003</v>
      </c>
    </row>
    <row r="6" spans="1:63" x14ac:dyDescent="0.25">
      <c r="A6" s="19">
        <v>3</v>
      </c>
      <c r="B6" s="20">
        <v>15997.58</v>
      </c>
      <c r="C6" s="21">
        <v>16871.690000000002</v>
      </c>
      <c r="D6" s="21">
        <v>17534.53</v>
      </c>
      <c r="E6" s="22">
        <v>18714.53</v>
      </c>
      <c r="F6" s="20">
        <v>16539.940000000002</v>
      </c>
      <c r="G6" s="21">
        <v>17629.13</v>
      </c>
      <c r="H6" s="21">
        <v>19255.63</v>
      </c>
      <c r="I6" s="22">
        <v>20575.63</v>
      </c>
      <c r="J6" s="38">
        <v>16545.14</v>
      </c>
      <c r="K6" s="32">
        <v>17275.63</v>
      </c>
      <c r="L6" s="32">
        <v>18906.93</v>
      </c>
      <c r="M6" s="32">
        <v>20137.009999999998</v>
      </c>
      <c r="N6" s="32">
        <v>20992.38</v>
      </c>
      <c r="O6" s="39">
        <v>21870.04</v>
      </c>
      <c r="P6" s="53">
        <v>17725.05</v>
      </c>
      <c r="Q6" s="53">
        <v>23740.23</v>
      </c>
      <c r="R6" s="53">
        <v>24079.23</v>
      </c>
      <c r="S6" s="53">
        <v>24565.8</v>
      </c>
      <c r="T6" s="53">
        <v>17730.740000000002</v>
      </c>
      <c r="U6" s="53">
        <v>24045.7</v>
      </c>
      <c r="V6" s="53">
        <v>19448.82</v>
      </c>
      <c r="W6" s="53">
        <v>22269.62</v>
      </c>
      <c r="X6" s="20">
        <v>17559.32</v>
      </c>
      <c r="Y6" s="21">
        <v>18594.54</v>
      </c>
      <c r="Z6" s="21">
        <v>18755.66</v>
      </c>
      <c r="AA6" s="21">
        <v>22265</v>
      </c>
      <c r="AB6" s="22">
        <v>23965</v>
      </c>
      <c r="AC6" s="229">
        <v>19813</v>
      </c>
      <c r="AD6" s="230">
        <v>22313</v>
      </c>
      <c r="AE6" s="230">
        <v>24313</v>
      </c>
      <c r="AF6" s="230">
        <v>26313</v>
      </c>
      <c r="AG6" s="231">
        <v>28313</v>
      </c>
      <c r="AH6" s="20">
        <v>19958.93</v>
      </c>
      <c r="AI6" s="21">
        <v>21783.41</v>
      </c>
      <c r="AJ6" s="21">
        <v>22113.11</v>
      </c>
      <c r="AK6" s="21">
        <v>22517.18</v>
      </c>
      <c r="AL6" s="21">
        <v>28105</v>
      </c>
      <c r="AM6" s="21">
        <v>22211.27</v>
      </c>
      <c r="AN6" s="22">
        <v>24801.75</v>
      </c>
      <c r="AO6" s="20">
        <v>21665.23</v>
      </c>
      <c r="AP6" s="21">
        <v>23653.919999999998</v>
      </c>
      <c r="AQ6" s="21">
        <v>24013.279999999999</v>
      </c>
      <c r="AR6" s="21">
        <v>24453.74</v>
      </c>
      <c r="AS6" s="21">
        <v>25453.74</v>
      </c>
      <c r="AT6" s="22">
        <v>25582.63</v>
      </c>
      <c r="AU6" s="20">
        <v>23379.85</v>
      </c>
      <c r="AV6" s="21">
        <v>26582.63</v>
      </c>
      <c r="AW6" s="21">
        <v>28317.88</v>
      </c>
      <c r="AX6" s="21">
        <v>31267.82</v>
      </c>
      <c r="AY6" s="21">
        <v>33639.17</v>
      </c>
      <c r="AZ6" s="21">
        <v>37837</v>
      </c>
      <c r="BA6" s="21">
        <v>39274.78</v>
      </c>
      <c r="BB6" s="21">
        <v>39919.300000000003</v>
      </c>
      <c r="BC6" s="22">
        <v>44009.53</v>
      </c>
      <c r="BD6" s="20">
        <v>28652.54</v>
      </c>
      <c r="BE6" s="21">
        <v>30596.02</v>
      </c>
      <c r="BF6" s="21">
        <v>32083.88</v>
      </c>
      <c r="BG6" s="21">
        <v>35657.53</v>
      </c>
      <c r="BH6" s="21">
        <v>39047.21</v>
      </c>
      <c r="BI6" s="22">
        <v>39040.29</v>
      </c>
      <c r="BJ6" s="50">
        <v>73185.81</v>
      </c>
      <c r="BK6" s="22">
        <v>65508.800000000003</v>
      </c>
    </row>
    <row r="7" spans="1:63" x14ac:dyDescent="0.25">
      <c r="A7" s="19">
        <v>4</v>
      </c>
      <c r="B7" s="20">
        <v>16425.48</v>
      </c>
      <c r="C7" s="21">
        <v>17144.379999999997</v>
      </c>
      <c r="D7" s="21">
        <v>17881.59</v>
      </c>
      <c r="E7" s="22">
        <v>19061.59</v>
      </c>
      <c r="F7" s="20">
        <v>16539.940000000002</v>
      </c>
      <c r="G7" s="21">
        <v>17629.13</v>
      </c>
      <c r="H7" s="21">
        <v>19255.63</v>
      </c>
      <c r="I7" s="22">
        <v>20575.63</v>
      </c>
      <c r="J7" s="38">
        <v>16545.14</v>
      </c>
      <c r="K7" s="32">
        <v>17275.63</v>
      </c>
      <c r="L7" s="32">
        <v>18906.93</v>
      </c>
      <c r="M7" s="32">
        <v>20137.009999999998</v>
      </c>
      <c r="N7" s="32">
        <v>20992.38</v>
      </c>
      <c r="O7" s="39">
        <v>21870.04</v>
      </c>
      <c r="P7" s="53">
        <v>17725.05</v>
      </c>
      <c r="Q7" s="53">
        <v>23740.23</v>
      </c>
      <c r="R7" s="53">
        <v>24079.23</v>
      </c>
      <c r="S7" s="53">
        <v>24565.8</v>
      </c>
      <c r="T7" s="53">
        <v>17730.740000000002</v>
      </c>
      <c r="U7" s="53">
        <v>24045.7</v>
      </c>
      <c r="V7" s="53">
        <v>19448.82</v>
      </c>
      <c r="W7" s="53">
        <v>22269.62</v>
      </c>
      <c r="X7" s="20">
        <v>17906.38</v>
      </c>
      <c r="Y7" s="21">
        <v>18978.78</v>
      </c>
      <c r="Z7" s="21">
        <v>19177.080000000002</v>
      </c>
      <c r="AA7" s="21">
        <v>22465</v>
      </c>
      <c r="AB7" s="22">
        <v>24165</v>
      </c>
      <c r="AC7" s="229">
        <v>20083</v>
      </c>
      <c r="AD7" s="230">
        <v>22583</v>
      </c>
      <c r="AE7" s="230">
        <v>24583</v>
      </c>
      <c r="AF7" s="230">
        <v>26583</v>
      </c>
      <c r="AG7" s="231">
        <v>28583</v>
      </c>
      <c r="AH7" s="20">
        <v>20494.39</v>
      </c>
      <c r="AI7" s="21">
        <v>22348.61</v>
      </c>
      <c r="AJ7" s="21">
        <v>22705.58</v>
      </c>
      <c r="AK7" s="21">
        <v>23161.71</v>
      </c>
      <c r="AL7" s="21">
        <v>28375</v>
      </c>
      <c r="AM7" s="21">
        <v>22831.01</v>
      </c>
      <c r="AN7" s="22">
        <v>25384.3</v>
      </c>
      <c r="AO7" s="20">
        <v>22248.880000000001</v>
      </c>
      <c r="AP7" s="21">
        <v>24269.99</v>
      </c>
      <c r="AQ7" s="21">
        <v>24659.07</v>
      </c>
      <c r="AR7" s="21">
        <v>25156.28</v>
      </c>
      <c r="AS7" s="21">
        <v>26156.28</v>
      </c>
      <c r="AT7" s="22">
        <v>26177.58</v>
      </c>
      <c r="AU7" s="20">
        <v>23816.15</v>
      </c>
      <c r="AV7" s="21">
        <v>27177.58</v>
      </c>
      <c r="AW7" s="21">
        <v>29160.720000000001</v>
      </c>
      <c r="AX7" s="21">
        <v>32185.03</v>
      </c>
      <c r="AY7" s="21">
        <v>34605.96</v>
      </c>
      <c r="AZ7" s="21">
        <v>38779</v>
      </c>
      <c r="BA7" s="21">
        <v>40241.57</v>
      </c>
      <c r="BB7" s="21">
        <v>41406.67</v>
      </c>
      <c r="BC7" s="22">
        <v>45620.84</v>
      </c>
      <c r="BD7" s="20">
        <v>29318.880000000001</v>
      </c>
      <c r="BE7" s="21">
        <v>31540</v>
      </c>
      <c r="BF7" s="21">
        <v>33056.120000000003</v>
      </c>
      <c r="BG7" s="21">
        <v>36682.33</v>
      </c>
      <c r="BH7" s="21">
        <v>40045.730000000003</v>
      </c>
      <c r="BI7" s="22">
        <v>40026.42</v>
      </c>
      <c r="BJ7" s="50">
        <v>73185.81</v>
      </c>
      <c r="BK7" s="22">
        <v>65508.800000000003</v>
      </c>
    </row>
    <row r="8" spans="1:63" x14ac:dyDescent="0.25">
      <c r="A8" s="19">
        <v>5</v>
      </c>
      <c r="B8" s="20">
        <v>16673.379999999997</v>
      </c>
      <c r="C8" s="21">
        <v>17290.276000000002</v>
      </c>
      <c r="D8" s="21">
        <v>18228.650000000001</v>
      </c>
      <c r="E8" s="22">
        <v>19408.650000000001</v>
      </c>
      <c r="F8" s="20">
        <v>16896.28</v>
      </c>
      <c r="G8" s="21">
        <v>18164.259999999998</v>
      </c>
      <c r="H8" s="21">
        <v>19517.643500000002</v>
      </c>
      <c r="I8" s="22">
        <v>20931.97</v>
      </c>
      <c r="J8" s="38">
        <v>16812.45</v>
      </c>
      <c r="K8" s="32">
        <v>17631.97</v>
      </c>
      <c r="L8" s="32">
        <v>19619.57</v>
      </c>
      <c r="M8" s="32">
        <v>20849.650000000001</v>
      </c>
      <c r="N8" s="32">
        <v>21348.720000000001</v>
      </c>
      <c r="O8" s="39">
        <v>22226.38</v>
      </c>
      <c r="P8" s="53">
        <v>17725.05</v>
      </c>
      <c r="Q8" s="53">
        <v>23740.23</v>
      </c>
      <c r="R8" s="53">
        <v>24079.23</v>
      </c>
      <c r="S8" s="53">
        <v>24565.8</v>
      </c>
      <c r="T8" s="53">
        <v>17730.740000000002</v>
      </c>
      <c r="U8" s="53">
        <v>24045.7</v>
      </c>
      <c r="V8" s="53">
        <v>19448.82</v>
      </c>
      <c r="W8" s="53">
        <v>22269.62</v>
      </c>
      <c r="X8" s="20">
        <v>18253.439999999999</v>
      </c>
      <c r="Y8" s="21">
        <v>19363.02</v>
      </c>
      <c r="Z8" s="21">
        <v>19516.633249999999</v>
      </c>
      <c r="AA8" s="21">
        <v>22665</v>
      </c>
      <c r="AB8" s="22">
        <v>24365</v>
      </c>
      <c r="AC8" s="229">
        <v>20352</v>
      </c>
      <c r="AD8" s="230">
        <v>22852</v>
      </c>
      <c r="AE8" s="230">
        <v>24852</v>
      </c>
      <c r="AF8" s="230">
        <v>26852</v>
      </c>
      <c r="AG8" s="231">
        <v>28852</v>
      </c>
      <c r="AH8" s="20">
        <v>21029.85</v>
      </c>
      <c r="AI8" s="21">
        <v>22913.81</v>
      </c>
      <c r="AJ8" s="21">
        <v>23298.05</v>
      </c>
      <c r="AK8" s="21">
        <v>23806.240000000002</v>
      </c>
      <c r="AL8" s="21">
        <v>28644</v>
      </c>
      <c r="AM8" s="21">
        <v>23450.75</v>
      </c>
      <c r="AN8" s="22">
        <v>25966.85</v>
      </c>
      <c r="AO8" s="20">
        <v>22832.53</v>
      </c>
      <c r="AP8" s="21">
        <v>24886.06</v>
      </c>
      <c r="AQ8" s="21">
        <v>25304.86</v>
      </c>
      <c r="AR8" s="21">
        <v>25858.82</v>
      </c>
      <c r="AS8" s="21">
        <v>26858.82</v>
      </c>
      <c r="AT8" s="22">
        <v>26772.53</v>
      </c>
      <c r="AU8" s="20">
        <v>24252.45</v>
      </c>
      <c r="AV8" s="21">
        <v>27772.53</v>
      </c>
      <c r="AW8" s="21">
        <v>30003.56</v>
      </c>
      <c r="AX8" s="21">
        <v>33102.240000000005</v>
      </c>
      <c r="AY8" s="21">
        <v>35572.75</v>
      </c>
      <c r="AZ8" s="21">
        <v>39721</v>
      </c>
      <c r="BA8" s="21">
        <v>41208.36</v>
      </c>
      <c r="BB8" s="21">
        <v>41406.67</v>
      </c>
      <c r="BC8" s="22">
        <v>45620.84</v>
      </c>
      <c r="BD8" s="20">
        <v>29985.22</v>
      </c>
      <c r="BE8" s="21">
        <v>32483.98</v>
      </c>
      <c r="BF8" s="21">
        <v>34028.36</v>
      </c>
      <c r="BG8" s="21">
        <v>37707.129999999997</v>
      </c>
      <c r="BH8" s="21">
        <v>41044.25</v>
      </c>
      <c r="BI8" s="22">
        <v>41012.550000000003</v>
      </c>
      <c r="BJ8" s="50">
        <v>73185.81</v>
      </c>
      <c r="BK8" s="22">
        <v>65508.800000000003</v>
      </c>
    </row>
    <row r="9" spans="1:63" x14ac:dyDescent="0.25">
      <c r="A9" s="19">
        <v>6</v>
      </c>
      <c r="B9" s="20">
        <v>16921.28</v>
      </c>
      <c r="C9" s="21">
        <v>17509.759999999998</v>
      </c>
      <c r="D9" s="21">
        <v>18755.71</v>
      </c>
      <c r="E9" s="22">
        <v>19755.71</v>
      </c>
      <c r="F9" s="20">
        <v>16896.28</v>
      </c>
      <c r="G9" s="21">
        <v>18164.259999999998</v>
      </c>
      <c r="H9" s="21">
        <v>19517.643500000002</v>
      </c>
      <c r="I9" s="22">
        <v>20931.97</v>
      </c>
      <c r="J9" s="38">
        <v>16812.45</v>
      </c>
      <c r="K9" s="32">
        <v>17631.97</v>
      </c>
      <c r="L9" s="32">
        <v>19619.57</v>
      </c>
      <c r="M9" s="32">
        <v>20849.650000000001</v>
      </c>
      <c r="N9" s="32">
        <v>21348.720000000001</v>
      </c>
      <c r="O9" s="39">
        <v>22226.38</v>
      </c>
      <c r="P9" s="53">
        <v>17725.05</v>
      </c>
      <c r="Q9" s="53">
        <v>23740.23</v>
      </c>
      <c r="R9" s="53">
        <v>24079.23</v>
      </c>
      <c r="S9" s="53">
        <v>24565.8</v>
      </c>
      <c r="T9" s="53">
        <v>17730.740000000002</v>
      </c>
      <c r="U9" s="53">
        <v>24045.7</v>
      </c>
      <c r="V9" s="53">
        <v>19448.82</v>
      </c>
      <c r="W9" s="53">
        <v>22269.62</v>
      </c>
      <c r="X9" s="20">
        <v>18780.5</v>
      </c>
      <c r="Y9" s="21">
        <v>19567.259999999998</v>
      </c>
      <c r="Z9" s="21">
        <v>19839.919999999998</v>
      </c>
      <c r="AA9" s="21">
        <v>22865</v>
      </c>
      <c r="AB9" s="22">
        <v>24565</v>
      </c>
      <c r="AC9" s="229">
        <v>20622</v>
      </c>
      <c r="AD9" s="230">
        <v>23122</v>
      </c>
      <c r="AE9" s="230">
        <v>25122</v>
      </c>
      <c r="AF9" s="230">
        <v>27122</v>
      </c>
      <c r="AG9" s="231">
        <v>29122</v>
      </c>
      <c r="AH9" s="20">
        <v>21565.31</v>
      </c>
      <c r="AI9" s="21">
        <v>23479.01</v>
      </c>
      <c r="AJ9" s="21">
        <v>23890.52</v>
      </c>
      <c r="AK9" s="21">
        <v>24450.77</v>
      </c>
      <c r="AL9" s="21">
        <v>28914</v>
      </c>
      <c r="AM9" s="21">
        <v>24070.49</v>
      </c>
      <c r="AN9" s="22">
        <v>26549.4</v>
      </c>
      <c r="AO9" s="20">
        <v>23416.18</v>
      </c>
      <c r="AP9" s="21">
        <v>25502.13</v>
      </c>
      <c r="AQ9" s="21">
        <v>25950.65</v>
      </c>
      <c r="AR9" s="21">
        <v>26561.360000000001</v>
      </c>
      <c r="AS9" s="21">
        <v>27561.360000000001</v>
      </c>
      <c r="AT9" s="22">
        <v>27367.48</v>
      </c>
      <c r="AU9" s="20">
        <v>24688.75</v>
      </c>
      <c r="AV9" s="21">
        <v>28367.48</v>
      </c>
      <c r="AW9" s="21">
        <v>30846.400000000001</v>
      </c>
      <c r="AX9" s="21">
        <v>34019.449999999997</v>
      </c>
      <c r="AY9" s="21">
        <v>36539.54</v>
      </c>
      <c r="AZ9" s="21">
        <v>40663</v>
      </c>
      <c r="BA9" s="21">
        <v>42175.15</v>
      </c>
      <c r="BB9" s="21">
        <v>42894.04</v>
      </c>
      <c r="BC9" s="22">
        <v>47232.15</v>
      </c>
      <c r="BD9" s="20">
        <v>30651.56</v>
      </c>
      <c r="BE9" s="21">
        <v>33427.96</v>
      </c>
      <c r="BF9" s="21">
        <v>35000.6</v>
      </c>
      <c r="BG9" s="21">
        <v>38731.93</v>
      </c>
      <c r="BH9" s="21">
        <v>42042.77</v>
      </c>
      <c r="BI9" s="22">
        <v>41998.68</v>
      </c>
      <c r="BJ9" s="50">
        <v>73185.81</v>
      </c>
      <c r="BK9" s="22">
        <v>65508.800000000003</v>
      </c>
    </row>
    <row r="10" spans="1:63" x14ac:dyDescent="0.25">
      <c r="A10" s="19">
        <v>7</v>
      </c>
      <c r="B10" s="20">
        <v>17169.18</v>
      </c>
      <c r="C10" s="21">
        <v>17782.45</v>
      </c>
      <c r="D10" s="21">
        <v>19102.77</v>
      </c>
      <c r="E10" s="22">
        <v>20102.77</v>
      </c>
      <c r="F10" s="20">
        <v>17252.620000000003</v>
      </c>
      <c r="G10" s="21">
        <v>18879.39</v>
      </c>
      <c r="H10" s="21">
        <v>19788.310000000001</v>
      </c>
      <c r="I10" s="22">
        <v>21288.31</v>
      </c>
      <c r="J10" s="38">
        <v>17168.79</v>
      </c>
      <c r="K10" s="32">
        <v>17988.310000000001</v>
      </c>
      <c r="L10" s="32">
        <v>20332.21</v>
      </c>
      <c r="M10" s="32">
        <v>21562.29</v>
      </c>
      <c r="N10" s="32">
        <v>21705.06</v>
      </c>
      <c r="O10" s="39">
        <v>22582.720000000001</v>
      </c>
      <c r="P10" s="53">
        <v>17725.05</v>
      </c>
      <c r="Q10" s="53">
        <v>23740.23</v>
      </c>
      <c r="R10" s="53">
        <v>24079.23</v>
      </c>
      <c r="S10" s="53">
        <v>24565.8</v>
      </c>
      <c r="T10" s="53">
        <v>17730.740000000002</v>
      </c>
      <c r="U10" s="53">
        <v>24045.7</v>
      </c>
      <c r="V10" s="53">
        <v>19448.82</v>
      </c>
      <c r="W10" s="53">
        <v>22269.62</v>
      </c>
      <c r="X10" s="20">
        <v>19127.560000000001</v>
      </c>
      <c r="Y10" s="21">
        <v>19951.5</v>
      </c>
      <c r="Z10" s="21">
        <v>20261.34</v>
      </c>
      <c r="AA10" s="21">
        <v>23064</v>
      </c>
      <c r="AB10" s="22">
        <v>24764</v>
      </c>
      <c r="AC10" s="229">
        <v>20892</v>
      </c>
      <c r="AD10" s="230">
        <v>23392</v>
      </c>
      <c r="AE10" s="230">
        <v>25392</v>
      </c>
      <c r="AF10" s="230">
        <v>27392</v>
      </c>
      <c r="AG10" s="231">
        <v>29392</v>
      </c>
      <c r="AH10" s="20">
        <v>22100.77</v>
      </c>
      <c r="AI10" s="21">
        <v>24044.21</v>
      </c>
      <c r="AJ10" s="21">
        <v>24482.99</v>
      </c>
      <c r="AK10" s="21">
        <v>25095.3</v>
      </c>
      <c r="AL10" s="21">
        <v>29184</v>
      </c>
      <c r="AM10" s="21">
        <v>24690.23</v>
      </c>
      <c r="AN10" s="22">
        <v>27131.95</v>
      </c>
      <c r="AO10" s="20">
        <v>23999.83</v>
      </c>
      <c r="AP10" s="21">
        <v>26118.2</v>
      </c>
      <c r="AQ10" s="21">
        <v>26596.44</v>
      </c>
      <c r="AR10" s="21">
        <v>27263.9</v>
      </c>
      <c r="AS10" s="21">
        <v>28263.9</v>
      </c>
      <c r="AT10" s="22">
        <v>27962.43</v>
      </c>
      <c r="AU10" s="20">
        <v>25125.05</v>
      </c>
      <c r="AV10" s="21">
        <v>28962.43</v>
      </c>
      <c r="AW10" s="21">
        <v>31689.24</v>
      </c>
      <c r="AX10" s="21">
        <v>34936.660000000003</v>
      </c>
      <c r="AY10" s="21">
        <v>37506.33</v>
      </c>
      <c r="AZ10" s="21">
        <v>41605</v>
      </c>
      <c r="BA10" s="21">
        <v>43141.94</v>
      </c>
      <c r="BB10" s="21">
        <v>42894.04</v>
      </c>
      <c r="BC10" s="22">
        <v>47232.15</v>
      </c>
      <c r="BD10" s="20">
        <v>31317.9</v>
      </c>
      <c r="BE10" s="21">
        <v>34371.94</v>
      </c>
      <c r="BF10" s="21">
        <v>35972.839999999997</v>
      </c>
      <c r="BG10" s="21">
        <v>39756.730000000003</v>
      </c>
      <c r="BH10" s="21">
        <v>43041.29</v>
      </c>
      <c r="BI10" s="22">
        <v>42984.81</v>
      </c>
      <c r="BJ10" s="50">
        <v>73185.81</v>
      </c>
      <c r="BK10" s="22">
        <v>65508.800000000003</v>
      </c>
    </row>
    <row r="11" spans="1:63" x14ac:dyDescent="0.25">
      <c r="A11" s="19">
        <v>8</v>
      </c>
      <c r="B11" s="20">
        <v>17290.276750000001</v>
      </c>
      <c r="C11" s="21">
        <v>18055.14</v>
      </c>
      <c r="D11" s="21">
        <v>19449.830000000002</v>
      </c>
      <c r="E11" s="22">
        <v>20449.830000000002</v>
      </c>
      <c r="F11" s="20">
        <v>17252.620000000003</v>
      </c>
      <c r="G11" s="21">
        <v>18879.39</v>
      </c>
      <c r="H11" s="21">
        <v>19788.310000000001</v>
      </c>
      <c r="I11" s="22">
        <v>21288.31</v>
      </c>
      <c r="J11" s="38">
        <v>17168.79</v>
      </c>
      <c r="K11" s="32">
        <v>17988.310000000001</v>
      </c>
      <c r="L11" s="32">
        <v>20332.21</v>
      </c>
      <c r="M11" s="32">
        <v>21562.29</v>
      </c>
      <c r="N11" s="32">
        <v>21705.06</v>
      </c>
      <c r="O11" s="39">
        <v>22582.720000000001</v>
      </c>
      <c r="P11" s="53">
        <v>17725.05</v>
      </c>
      <c r="Q11" s="53">
        <v>23740.23</v>
      </c>
      <c r="R11" s="53">
        <v>24079.23</v>
      </c>
      <c r="S11" s="53">
        <v>24565.8</v>
      </c>
      <c r="T11" s="53">
        <v>17730.740000000002</v>
      </c>
      <c r="U11" s="53">
        <v>24045.7</v>
      </c>
      <c r="V11" s="53">
        <v>19448.82</v>
      </c>
      <c r="W11" s="53">
        <v>22269.62</v>
      </c>
      <c r="X11" s="20">
        <v>19474.62</v>
      </c>
      <c r="Y11" s="21">
        <v>20335.740000000002</v>
      </c>
      <c r="Z11" s="21">
        <v>20682.759999999998</v>
      </c>
      <c r="AA11" s="21">
        <v>23264</v>
      </c>
      <c r="AB11" s="22">
        <v>24964</v>
      </c>
      <c r="AC11" s="229">
        <v>21161</v>
      </c>
      <c r="AD11" s="230">
        <v>23661</v>
      </c>
      <c r="AE11" s="230">
        <v>25661</v>
      </c>
      <c r="AF11" s="230">
        <v>27661</v>
      </c>
      <c r="AG11" s="231">
        <v>29661</v>
      </c>
      <c r="AH11" s="20">
        <v>22636.23</v>
      </c>
      <c r="AI11" s="21">
        <v>24609.41</v>
      </c>
      <c r="AJ11" s="21">
        <v>25075.46</v>
      </c>
      <c r="AK11" s="21">
        <v>25739.83</v>
      </c>
      <c r="AL11" s="21">
        <v>29453</v>
      </c>
      <c r="AM11" s="21">
        <v>25309.97</v>
      </c>
      <c r="AN11" s="22">
        <v>27714.5</v>
      </c>
      <c r="AO11" s="20">
        <v>24583.48</v>
      </c>
      <c r="AP11" s="21">
        <v>26734.27</v>
      </c>
      <c r="AQ11" s="21">
        <v>27242.23</v>
      </c>
      <c r="AR11" s="21">
        <v>27966.44</v>
      </c>
      <c r="AS11" s="21">
        <v>28966.44</v>
      </c>
      <c r="AT11" s="22">
        <v>28557.38</v>
      </c>
      <c r="AU11" s="20">
        <v>25561.35</v>
      </c>
      <c r="AV11" s="21">
        <v>29557.38</v>
      </c>
      <c r="AW11" s="21">
        <v>32532.080000000002</v>
      </c>
      <c r="AX11" s="21">
        <v>35853.870000000003</v>
      </c>
      <c r="AY11" s="21">
        <v>38473.120000000003</v>
      </c>
      <c r="AZ11" s="21">
        <v>42547</v>
      </c>
      <c r="BA11" s="21">
        <v>44108.73</v>
      </c>
      <c r="BB11" s="21">
        <v>44381.41</v>
      </c>
      <c r="BC11" s="22">
        <v>48843.46</v>
      </c>
      <c r="BD11" s="20">
        <v>31984.240000000002</v>
      </c>
      <c r="BE11" s="21">
        <v>35315.919999999998</v>
      </c>
      <c r="BF11" s="21">
        <v>36945.08</v>
      </c>
      <c r="BG11" s="21">
        <v>40781.53</v>
      </c>
      <c r="BH11" s="21">
        <v>44039.81</v>
      </c>
      <c r="BI11" s="22">
        <v>43970.94</v>
      </c>
      <c r="BJ11" s="50">
        <v>73185.81</v>
      </c>
      <c r="BK11" s="22">
        <v>65508.800000000003</v>
      </c>
    </row>
    <row r="12" spans="1:63" x14ac:dyDescent="0.25">
      <c r="A12" s="19">
        <v>9</v>
      </c>
      <c r="B12" s="20">
        <v>17484.98</v>
      </c>
      <c r="C12" s="21">
        <v>18327.830000000002</v>
      </c>
      <c r="D12" s="21">
        <v>19616.89</v>
      </c>
      <c r="E12" s="22">
        <v>20616.89</v>
      </c>
      <c r="F12" s="20">
        <v>17696.23</v>
      </c>
      <c r="G12" s="21">
        <v>19414.52</v>
      </c>
      <c r="H12" s="21">
        <v>20411.919999999998</v>
      </c>
      <c r="I12" s="22">
        <v>21911.919999999998</v>
      </c>
      <c r="J12" s="38">
        <v>17881.43</v>
      </c>
      <c r="K12" s="32">
        <v>18611.919999999998</v>
      </c>
      <c r="L12" s="32">
        <v>20955.82</v>
      </c>
      <c r="M12" s="32">
        <v>22185.9</v>
      </c>
      <c r="N12" s="32">
        <v>22417.7</v>
      </c>
      <c r="O12" s="39">
        <v>23295.360000000001</v>
      </c>
      <c r="P12" s="53">
        <v>17725.05</v>
      </c>
      <c r="Q12" s="53">
        <v>23740.23</v>
      </c>
      <c r="R12" s="53">
        <v>24079.23</v>
      </c>
      <c r="S12" s="53">
        <v>24565.8</v>
      </c>
      <c r="T12" s="53">
        <v>17730.740000000002</v>
      </c>
      <c r="U12" s="53">
        <v>24045.7</v>
      </c>
      <c r="V12" s="53">
        <v>19448.82</v>
      </c>
      <c r="W12" s="53">
        <v>22269.62</v>
      </c>
      <c r="X12" s="20">
        <v>19641.68</v>
      </c>
      <c r="Y12" s="21">
        <v>20719.98</v>
      </c>
      <c r="Z12" s="21">
        <v>21104.18</v>
      </c>
      <c r="AA12" s="21">
        <v>23464</v>
      </c>
      <c r="AB12" s="22">
        <v>25164</v>
      </c>
      <c r="AC12" s="229">
        <v>21431</v>
      </c>
      <c r="AD12" s="230">
        <v>23931</v>
      </c>
      <c r="AE12" s="230">
        <v>25931</v>
      </c>
      <c r="AF12" s="230">
        <v>27931</v>
      </c>
      <c r="AG12" s="231">
        <v>29931</v>
      </c>
      <c r="AH12" s="20">
        <v>23171.69</v>
      </c>
      <c r="AI12" s="21">
        <v>25174.61</v>
      </c>
      <c r="AJ12" s="21">
        <v>25667.93</v>
      </c>
      <c r="AK12" s="21">
        <v>26384.36</v>
      </c>
      <c r="AL12" s="21">
        <v>29723</v>
      </c>
      <c r="AM12" s="21">
        <v>25929.71</v>
      </c>
      <c r="AN12" s="22">
        <v>28297.05</v>
      </c>
      <c r="AO12" s="20">
        <v>25167.13</v>
      </c>
      <c r="AP12" s="21">
        <v>27350.34</v>
      </c>
      <c r="AQ12" s="21">
        <v>27888.02</v>
      </c>
      <c r="AR12" s="21">
        <v>28668.98</v>
      </c>
      <c r="AS12" s="21">
        <v>29668.98</v>
      </c>
      <c r="AT12" s="22">
        <v>29152.33</v>
      </c>
      <c r="AU12" s="20">
        <v>25997.65</v>
      </c>
      <c r="AV12" s="21">
        <v>30152.33</v>
      </c>
      <c r="AW12" s="21">
        <v>33374.92</v>
      </c>
      <c r="AX12" s="21">
        <v>36771.08</v>
      </c>
      <c r="AY12" s="21">
        <v>39439.910000000003</v>
      </c>
      <c r="AZ12" s="21">
        <v>43489</v>
      </c>
      <c r="BA12" s="21">
        <v>45075.519999999997</v>
      </c>
      <c r="BB12" s="21">
        <v>44381.41</v>
      </c>
      <c r="BC12" s="22">
        <v>48843.46</v>
      </c>
      <c r="BD12" s="20">
        <v>32650.58</v>
      </c>
      <c r="BE12" s="21">
        <v>36259.9</v>
      </c>
      <c r="BF12" s="21">
        <v>37917.32</v>
      </c>
      <c r="BG12" s="21">
        <v>41806.33</v>
      </c>
      <c r="BH12" s="21">
        <v>45038.33</v>
      </c>
      <c r="BI12" s="22">
        <v>44957.07</v>
      </c>
      <c r="BJ12" s="50">
        <v>73185.81</v>
      </c>
      <c r="BK12" s="22">
        <v>65508.800000000003</v>
      </c>
    </row>
    <row r="13" spans="1:63" x14ac:dyDescent="0.25">
      <c r="A13" s="19">
        <v>10</v>
      </c>
      <c r="B13" s="20">
        <v>17732.88</v>
      </c>
      <c r="C13" s="21">
        <v>18780.52</v>
      </c>
      <c r="D13" s="21">
        <v>19963.95</v>
      </c>
      <c r="E13" s="22">
        <v>20963.95</v>
      </c>
      <c r="F13" s="20">
        <v>17696.23</v>
      </c>
      <c r="G13" s="21">
        <v>19414.52</v>
      </c>
      <c r="H13" s="21">
        <v>20411.919999999998</v>
      </c>
      <c r="I13" s="22">
        <v>21911.919999999998</v>
      </c>
      <c r="J13" s="38">
        <v>17881.43</v>
      </c>
      <c r="K13" s="32">
        <v>18611.919999999998</v>
      </c>
      <c r="L13" s="32">
        <v>20955.82</v>
      </c>
      <c r="M13" s="32">
        <v>22185.9</v>
      </c>
      <c r="N13" s="32">
        <v>22417.7</v>
      </c>
      <c r="O13" s="39">
        <v>23295.360000000001</v>
      </c>
      <c r="P13" s="53">
        <v>17725.05</v>
      </c>
      <c r="Q13" s="53">
        <v>23740.23</v>
      </c>
      <c r="R13" s="53">
        <v>24079.23</v>
      </c>
      <c r="S13" s="53">
        <v>24565.8</v>
      </c>
      <c r="T13" s="53">
        <v>17730.740000000002</v>
      </c>
      <c r="U13" s="53">
        <v>24045.7</v>
      </c>
      <c r="V13" s="53">
        <v>19448.82</v>
      </c>
      <c r="W13" s="53">
        <v>22269.62</v>
      </c>
      <c r="X13" s="20">
        <v>19988.740000000002</v>
      </c>
      <c r="Y13" s="21">
        <v>21104.22</v>
      </c>
      <c r="Z13" s="21">
        <v>21525.599999999999</v>
      </c>
      <c r="AA13" s="21">
        <v>23664</v>
      </c>
      <c r="AB13" s="22">
        <v>25364</v>
      </c>
      <c r="AC13" s="229">
        <v>21701</v>
      </c>
      <c r="AD13" s="230">
        <v>24201</v>
      </c>
      <c r="AE13" s="230">
        <v>26201</v>
      </c>
      <c r="AF13" s="230">
        <v>28201</v>
      </c>
      <c r="AG13" s="231">
        <v>30201</v>
      </c>
      <c r="AH13" s="20">
        <v>23707.15</v>
      </c>
      <c r="AI13" s="21">
        <v>25739.81</v>
      </c>
      <c r="AJ13" s="21">
        <v>26260.400000000001</v>
      </c>
      <c r="AK13" s="21">
        <v>27028.89</v>
      </c>
      <c r="AL13" s="21">
        <v>29993</v>
      </c>
      <c r="AM13" s="21">
        <v>26549.45</v>
      </c>
      <c r="AN13" s="22">
        <v>28879.599999999999</v>
      </c>
      <c r="AO13" s="20">
        <v>25750.78</v>
      </c>
      <c r="AP13" s="21">
        <v>27966.41</v>
      </c>
      <c r="AQ13" s="21">
        <v>28533.81</v>
      </c>
      <c r="AR13" s="21">
        <v>29371.52</v>
      </c>
      <c r="AS13" s="21">
        <v>30371.52</v>
      </c>
      <c r="AT13" s="22">
        <v>29747.279999999999</v>
      </c>
      <c r="AU13" s="20">
        <v>26433.95</v>
      </c>
      <c r="AV13" s="21">
        <v>30747.279999999999</v>
      </c>
      <c r="AW13" s="21">
        <v>34217.760000000002</v>
      </c>
      <c r="AX13" s="21">
        <v>37688.29</v>
      </c>
      <c r="AY13" s="21">
        <v>40406.699999999997</v>
      </c>
      <c r="AZ13" s="21">
        <v>44431</v>
      </c>
      <c r="BA13" s="21">
        <v>46042.31</v>
      </c>
      <c r="BB13" s="21">
        <v>45868.78</v>
      </c>
      <c r="BC13" s="22">
        <v>50454.77</v>
      </c>
      <c r="BD13" s="20">
        <v>33316.92</v>
      </c>
      <c r="BE13" s="21">
        <v>37203.879999999997</v>
      </c>
      <c r="BF13" s="21">
        <v>38889.56</v>
      </c>
      <c r="BG13" s="21">
        <v>42831.13</v>
      </c>
      <c r="BH13" s="21">
        <v>46036.85</v>
      </c>
      <c r="BI13" s="22">
        <v>45943.199999999997</v>
      </c>
      <c r="BJ13" s="50">
        <v>73185.81</v>
      </c>
      <c r="BK13" s="22">
        <v>65508.800000000003</v>
      </c>
    </row>
    <row r="14" spans="1:63" x14ac:dyDescent="0.25">
      <c r="A14" s="19">
        <v>11</v>
      </c>
      <c r="B14" s="20">
        <v>17980.78</v>
      </c>
      <c r="C14" s="21">
        <v>19053.21</v>
      </c>
      <c r="D14" s="21">
        <v>20311.009999999998</v>
      </c>
      <c r="E14" s="22">
        <v>21311.01</v>
      </c>
      <c r="F14" s="20">
        <v>18319.84</v>
      </c>
      <c r="G14" s="21">
        <v>19769.650000000001</v>
      </c>
      <c r="H14" s="21">
        <v>21035.53</v>
      </c>
      <c r="I14" s="22">
        <v>22535.53</v>
      </c>
      <c r="J14" s="38">
        <v>18594.07</v>
      </c>
      <c r="K14" s="32">
        <v>19235.53</v>
      </c>
      <c r="L14" s="32">
        <v>21579.43</v>
      </c>
      <c r="M14" s="32">
        <v>22809.51</v>
      </c>
      <c r="N14" s="32">
        <v>23130.34</v>
      </c>
      <c r="O14" s="39">
        <v>24008</v>
      </c>
      <c r="P14" s="53">
        <v>17725.05</v>
      </c>
      <c r="Q14" s="53">
        <v>23740.23</v>
      </c>
      <c r="R14" s="53">
        <v>24079.23</v>
      </c>
      <c r="S14" s="53">
        <v>24565.8</v>
      </c>
      <c r="T14" s="53">
        <v>17730.740000000002</v>
      </c>
      <c r="U14" s="53">
        <v>24045.7</v>
      </c>
      <c r="V14" s="53">
        <v>19448.82</v>
      </c>
      <c r="W14" s="53">
        <v>22269.62</v>
      </c>
      <c r="X14" s="20">
        <v>20335.8</v>
      </c>
      <c r="Y14" s="21">
        <v>21488.46</v>
      </c>
      <c r="Z14" s="21">
        <v>21947.02</v>
      </c>
      <c r="AA14" s="21">
        <v>23863</v>
      </c>
      <c r="AB14" s="22">
        <v>25563</v>
      </c>
      <c r="AC14" s="229">
        <v>21970</v>
      </c>
      <c r="AD14" s="230">
        <v>24470</v>
      </c>
      <c r="AE14" s="230">
        <v>26470</v>
      </c>
      <c r="AF14" s="230">
        <v>28470</v>
      </c>
      <c r="AG14" s="231">
        <v>30470</v>
      </c>
      <c r="AH14" s="20">
        <v>24242.61</v>
      </c>
      <c r="AI14" s="21">
        <v>26305.01</v>
      </c>
      <c r="AJ14" s="21">
        <v>26852.87</v>
      </c>
      <c r="AK14" s="21">
        <v>27673.42</v>
      </c>
      <c r="AL14" s="21">
        <v>30262</v>
      </c>
      <c r="AM14" s="21">
        <v>27169.19</v>
      </c>
      <c r="AN14" s="22">
        <v>29462.15</v>
      </c>
      <c r="AO14" s="20">
        <v>26334.43</v>
      </c>
      <c r="AP14" s="21">
        <v>28582.48</v>
      </c>
      <c r="AQ14" s="21">
        <v>29179.599999999999</v>
      </c>
      <c r="AR14" s="21">
        <v>30074.06</v>
      </c>
      <c r="AS14" s="21">
        <v>31074.06</v>
      </c>
      <c r="AT14" s="22">
        <v>30342.23</v>
      </c>
      <c r="AU14" s="20">
        <v>26870.25</v>
      </c>
      <c r="AV14" s="21">
        <v>31342.23</v>
      </c>
      <c r="AW14" s="21">
        <v>34961.449999999997</v>
      </c>
      <c r="AX14" s="21">
        <v>38580.71</v>
      </c>
      <c r="AY14" s="21">
        <v>41373.49</v>
      </c>
      <c r="AZ14" s="21">
        <v>45373</v>
      </c>
      <c r="BA14" s="21">
        <v>47009.1</v>
      </c>
      <c r="BB14" s="21">
        <v>45868.78</v>
      </c>
      <c r="BC14" s="22">
        <v>50454.77</v>
      </c>
      <c r="BD14" s="20">
        <v>33983.26</v>
      </c>
      <c r="BE14" s="21">
        <v>38036.81</v>
      </c>
      <c r="BF14" s="21">
        <v>39835.53</v>
      </c>
      <c r="BG14" s="21">
        <v>43855.93</v>
      </c>
      <c r="BH14" s="21">
        <v>47035.37</v>
      </c>
      <c r="BI14" s="22">
        <v>46929.33</v>
      </c>
      <c r="BJ14" s="50">
        <v>73185.81</v>
      </c>
      <c r="BK14" s="22">
        <v>65508.800000000003</v>
      </c>
    </row>
    <row r="15" spans="1:63" x14ac:dyDescent="0.25">
      <c r="A15" s="19">
        <v>12</v>
      </c>
      <c r="B15" s="20">
        <v>18228.68</v>
      </c>
      <c r="C15" s="21">
        <v>19325.900000000001</v>
      </c>
      <c r="D15" s="21">
        <v>20658.07</v>
      </c>
      <c r="E15" s="22">
        <v>21658.07</v>
      </c>
      <c r="F15" s="20">
        <v>18319.84</v>
      </c>
      <c r="G15" s="21">
        <v>19769.650000000001</v>
      </c>
      <c r="H15" s="21">
        <v>21035.53</v>
      </c>
      <c r="I15" s="22">
        <v>22535.53</v>
      </c>
      <c r="J15" s="38">
        <v>18594.07</v>
      </c>
      <c r="K15" s="32">
        <v>19235.53</v>
      </c>
      <c r="L15" s="32">
        <v>21579.43</v>
      </c>
      <c r="M15" s="32">
        <v>22809.51</v>
      </c>
      <c r="N15" s="32">
        <v>23130.34</v>
      </c>
      <c r="O15" s="39">
        <v>24008</v>
      </c>
      <c r="P15" s="53">
        <v>17725.05</v>
      </c>
      <c r="Q15" s="53">
        <v>23740.23</v>
      </c>
      <c r="R15" s="53">
        <v>24079.23</v>
      </c>
      <c r="S15" s="53">
        <v>24565.8</v>
      </c>
      <c r="T15" s="53">
        <v>17730.740000000002</v>
      </c>
      <c r="U15" s="53">
        <v>24045.7</v>
      </c>
      <c r="V15" s="53">
        <v>19448.82</v>
      </c>
      <c r="W15" s="53">
        <v>22269.62</v>
      </c>
      <c r="X15" s="20">
        <v>20682.86</v>
      </c>
      <c r="Y15" s="21">
        <v>21872.7</v>
      </c>
      <c r="Z15" s="21">
        <v>22368.44</v>
      </c>
      <c r="AA15" s="21">
        <v>24063</v>
      </c>
      <c r="AB15" s="22">
        <v>25763</v>
      </c>
      <c r="AC15" s="229">
        <v>22240</v>
      </c>
      <c r="AD15" s="230">
        <v>24740</v>
      </c>
      <c r="AE15" s="230">
        <v>26740</v>
      </c>
      <c r="AF15" s="230">
        <v>28740</v>
      </c>
      <c r="AG15" s="231">
        <v>30740</v>
      </c>
      <c r="AH15" s="20">
        <v>24778.07</v>
      </c>
      <c r="AI15" s="21">
        <v>26870.21</v>
      </c>
      <c r="AJ15" s="21">
        <v>27445.34</v>
      </c>
      <c r="AK15" s="21">
        <v>28317.95</v>
      </c>
      <c r="AL15" s="21">
        <v>30532</v>
      </c>
      <c r="AM15" s="21">
        <v>27788.93</v>
      </c>
      <c r="AN15" s="22">
        <v>30044.7</v>
      </c>
      <c r="AO15" s="20">
        <v>26918.080000000002</v>
      </c>
      <c r="AP15" s="21">
        <v>29198.55</v>
      </c>
      <c r="AQ15" s="21">
        <v>29825.39</v>
      </c>
      <c r="AR15" s="21">
        <v>30776.6</v>
      </c>
      <c r="AS15" s="21">
        <v>31776.6</v>
      </c>
      <c r="AT15" s="22">
        <v>30937.18</v>
      </c>
      <c r="AU15" s="20">
        <v>27306.55</v>
      </c>
      <c r="AV15" s="21">
        <v>31937.18</v>
      </c>
      <c r="AW15" s="21">
        <v>35705.14</v>
      </c>
      <c r="AX15" s="21">
        <v>39473.129999999997</v>
      </c>
      <c r="AY15" s="21">
        <v>42340.28</v>
      </c>
      <c r="AZ15" s="21">
        <v>46315</v>
      </c>
      <c r="BA15" s="21">
        <v>47975.89</v>
      </c>
      <c r="BB15" s="21">
        <v>47356.15</v>
      </c>
      <c r="BC15" s="22">
        <v>52066.080000000002</v>
      </c>
      <c r="BD15" s="20">
        <v>34649.599999999999</v>
      </c>
      <c r="BE15" s="21">
        <v>38869.74</v>
      </c>
      <c r="BF15" s="21">
        <v>40781.5</v>
      </c>
      <c r="BG15" s="21">
        <v>44880.73</v>
      </c>
      <c r="BH15" s="21">
        <v>48033.89</v>
      </c>
      <c r="BI15" s="22">
        <v>47915.46</v>
      </c>
      <c r="BJ15" s="50">
        <v>73185.81</v>
      </c>
      <c r="BK15" s="22">
        <v>65508.800000000003</v>
      </c>
    </row>
    <row r="16" spans="1:63" x14ac:dyDescent="0.25">
      <c r="A16" s="19">
        <v>13</v>
      </c>
      <c r="B16" s="20">
        <v>18656.580000000002</v>
      </c>
      <c r="C16" s="21">
        <v>19516.64</v>
      </c>
      <c r="D16" s="21">
        <v>21005.13</v>
      </c>
      <c r="E16" s="22">
        <v>22005.13</v>
      </c>
      <c r="F16" s="20">
        <v>19123.45</v>
      </c>
      <c r="G16" s="21">
        <v>20304.78</v>
      </c>
      <c r="H16" s="21">
        <v>21659.14</v>
      </c>
      <c r="I16" s="22">
        <v>23159.14</v>
      </c>
      <c r="J16" s="38">
        <v>19217.68</v>
      </c>
      <c r="K16" s="32">
        <v>19859.14</v>
      </c>
      <c r="L16" s="32">
        <v>22203.040000000001</v>
      </c>
      <c r="M16" s="32">
        <v>23433.119999999999</v>
      </c>
      <c r="N16" s="32">
        <v>23753.95</v>
      </c>
      <c r="O16" s="39">
        <v>24631.61</v>
      </c>
      <c r="P16" s="53">
        <v>17725.05</v>
      </c>
      <c r="Q16" s="53">
        <v>23740.23</v>
      </c>
      <c r="R16" s="53">
        <v>24079.23</v>
      </c>
      <c r="S16" s="53">
        <v>24565.8</v>
      </c>
      <c r="T16" s="53">
        <v>17730.740000000002</v>
      </c>
      <c r="U16" s="53">
        <v>24045.7</v>
      </c>
      <c r="V16" s="53">
        <v>19448.82</v>
      </c>
      <c r="W16" s="53">
        <v>22269.62</v>
      </c>
      <c r="X16" s="20">
        <v>21029.919999999998</v>
      </c>
      <c r="Y16" s="21">
        <v>22256.94</v>
      </c>
      <c r="Z16" s="21">
        <v>22789.86</v>
      </c>
      <c r="AA16" s="21">
        <v>24263</v>
      </c>
      <c r="AB16" s="22">
        <v>25963</v>
      </c>
      <c r="AC16" s="229">
        <v>22510</v>
      </c>
      <c r="AD16" s="230">
        <v>25010</v>
      </c>
      <c r="AE16" s="230">
        <v>27010</v>
      </c>
      <c r="AF16" s="230">
        <v>29010</v>
      </c>
      <c r="AG16" s="231">
        <v>31010</v>
      </c>
      <c r="AH16" s="20">
        <v>25313.53</v>
      </c>
      <c r="AI16" s="21">
        <v>27435.41</v>
      </c>
      <c r="AJ16" s="21">
        <v>28037.81</v>
      </c>
      <c r="AK16" s="21">
        <v>28962.48</v>
      </c>
      <c r="AL16" s="21">
        <v>30802</v>
      </c>
      <c r="AM16" s="21">
        <v>28408.67</v>
      </c>
      <c r="AN16" s="22">
        <v>30627.25</v>
      </c>
      <c r="AO16" s="20">
        <v>27501.73</v>
      </c>
      <c r="AP16" s="21">
        <v>29814.62</v>
      </c>
      <c r="AQ16" s="21">
        <v>30471.18</v>
      </c>
      <c r="AR16" s="21">
        <v>31479.14</v>
      </c>
      <c r="AS16" s="21">
        <v>32479.14</v>
      </c>
      <c r="AT16" s="22">
        <v>31532.13</v>
      </c>
      <c r="AU16" s="20">
        <v>27742.85</v>
      </c>
      <c r="AV16" s="21">
        <v>32532.13</v>
      </c>
      <c r="AW16" s="21">
        <v>36101.769999999997</v>
      </c>
      <c r="AX16" s="21">
        <v>39894.550000000003</v>
      </c>
      <c r="AY16" s="21">
        <v>42786.49</v>
      </c>
      <c r="AZ16" s="21">
        <v>46550.5</v>
      </c>
      <c r="BA16" s="21">
        <v>48347.74</v>
      </c>
      <c r="BB16" s="21">
        <v>47356.15</v>
      </c>
      <c r="BC16" s="22">
        <v>52066.080000000002</v>
      </c>
      <c r="BD16" s="20">
        <v>35315.94</v>
      </c>
      <c r="BE16" s="21">
        <v>39313.97</v>
      </c>
      <c r="BF16" s="21">
        <v>41228.21</v>
      </c>
      <c r="BG16" s="21">
        <v>45353.72</v>
      </c>
      <c r="BH16" s="21">
        <v>48283.519999999997</v>
      </c>
      <c r="BI16" s="22">
        <v>48294.74</v>
      </c>
      <c r="BJ16" s="50">
        <v>73185.81</v>
      </c>
      <c r="BK16" s="22">
        <v>65508.800000000003</v>
      </c>
    </row>
    <row r="17" spans="1:63" x14ac:dyDescent="0.25">
      <c r="A17" s="19">
        <v>14</v>
      </c>
      <c r="B17" s="20">
        <v>18792.93</v>
      </c>
      <c r="C17" s="21">
        <v>19567.330000000002</v>
      </c>
      <c r="D17" s="21">
        <v>21203.45</v>
      </c>
      <c r="E17" s="22">
        <v>22203.45</v>
      </c>
      <c r="F17" s="20">
        <v>19123.45</v>
      </c>
      <c r="G17" s="21">
        <v>20304.78</v>
      </c>
      <c r="H17" s="21">
        <v>21659.14</v>
      </c>
      <c r="I17" s="22">
        <v>23159.14</v>
      </c>
      <c r="J17" s="38">
        <v>19217.68</v>
      </c>
      <c r="K17" s="32">
        <v>19859.14</v>
      </c>
      <c r="L17" s="32">
        <v>22203.040000000001</v>
      </c>
      <c r="M17" s="32">
        <v>23433.119999999999</v>
      </c>
      <c r="N17" s="32">
        <v>23753.95</v>
      </c>
      <c r="O17" s="39">
        <v>24631.61</v>
      </c>
      <c r="P17" s="53">
        <v>17725.05</v>
      </c>
      <c r="Q17" s="53">
        <v>23740.23</v>
      </c>
      <c r="R17" s="53">
        <v>24079.23</v>
      </c>
      <c r="S17" s="53">
        <v>24565.8</v>
      </c>
      <c r="T17" s="53">
        <v>17730.740000000002</v>
      </c>
      <c r="U17" s="53">
        <v>24045.7</v>
      </c>
      <c r="V17" s="53">
        <v>19448.82</v>
      </c>
      <c r="W17" s="53">
        <v>22269.62</v>
      </c>
      <c r="X17" s="20">
        <v>21228.240000000002</v>
      </c>
      <c r="Y17" s="21">
        <v>22504.84</v>
      </c>
      <c r="Z17" s="21">
        <v>23020.41</v>
      </c>
      <c r="AA17" s="21">
        <v>24463</v>
      </c>
      <c r="AB17" s="22">
        <v>26163</v>
      </c>
      <c r="AC17" s="229">
        <v>22779</v>
      </c>
      <c r="AD17" s="230">
        <v>25279</v>
      </c>
      <c r="AE17" s="230">
        <v>27279</v>
      </c>
      <c r="AF17" s="230">
        <v>29279</v>
      </c>
      <c r="AG17" s="231">
        <v>31279</v>
      </c>
      <c r="AH17" s="20">
        <v>25601.09</v>
      </c>
      <c r="AI17" s="21">
        <v>27740.32</v>
      </c>
      <c r="AJ17" s="21">
        <v>28360.080000000002</v>
      </c>
      <c r="AK17" s="21">
        <v>29309.54</v>
      </c>
      <c r="AL17" s="21">
        <v>31071</v>
      </c>
      <c r="AM17" s="21">
        <v>28755.73</v>
      </c>
      <c r="AN17" s="22">
        <v>30949.52</v>
      </c>
      <c r="AO17" s="20">
        <v>27815.17</v>
      </c>
      <c r="AP17" s="21">
        <v>30146.98</v>
      </c>
      <c r="AQ17" s="21">
        <v>30822.45</v>
      </c>
      <c r="AR17" s="21">
        <v>31857.43</v>
      </c>
      <c r="AS17" s="21">
        <v>32857.43</v>
      </c>
      <c r="AT17" s="22">
        <v>31879.19</v>
      </c>
      <c r="AU17" s="20">
        <v>27993.23</v>
      </c>
      <c r="AV17" s="21">
        <v>32879.19</v>
      </c>
      <c r="AW17" s="21">
        <v>36498.400000000001</v>
      </c>
      <c r="AX17" s="21">
        <v>40315.97</v>
      </c>
      <c r="AY17" s="21">
        <v>43232.7</v>
      </c>
      <c r="AZ17" s="21">
        <v>46786</v>
      </c>
      <c r="BA17" s="21">
        <v>48719.59</v>
      </c>
      <c r="BB17" s="21">
        <v>48843.519999999997</v>
      </c>
      <c r="BC17" s="22">
        <v>53677.39</v>
      </c>
      <c r="BD17" s="20">
        <v>35704.639999999999</v>
      </c>
      <c r="BE17" s="21">
        <v>39758.199999999997</v>
      </c>
      <c r="BF17" s="21">
        <v>41674.92</v>
      </c>
      <c r="BG17" s="21">
        <v>45826.71</v>
      </c>
      <c r="BH17" s="21">
        <v>48533.15</v>
      </c>
      <c r="BI17" s="22">
        <v>48674.02</v>
      </c>
      <c r="BJ17" s="50">
        <v>73185.81</v>
      </c>
      <c r="BK17" s="22">
        <v>65508.800000000003</v>
      </c>
    </row>
    <row r="18" spans="1:63" x14ac:dyDescent="0.25">
      <c r="A18" s="19">
        <v>15</v>
      </c>
      <c r="B18" s="20">
        <v>18929.28</v>
      </c>
      <c r="C18" s="21">
        <v>19716.07</v>
      </c>
      <c r="D18" s="21">
        <v>21401.77</v>
      </c>
      <c r="E18" s="22">
        <v>22401.77</v>
      </c>
      <c r="F18" s="20">
        <v>19567.060000000001</v>
      </c>
      <c r="G18" s="21">
        <v>20839.91</v>
      </c>
      <c r="H18" s="21">
        <v>22282.75</v>
      </c>
      <c r="I18" s="22">
        <v>23782.75</v>
      </c>
      <c r="J18" s="38">
        <v>19841.29</v>
      </c>
      <c r="K18" s="32">
        <v>20482.75</v>
      </c>
      <c r="L18" s="32">
        <v>22826.65</v>
      </c>
      <c r="M18" s="32">
        <v>24056.73</v>
      </c>
      <c r="N18" s="32">
        <v>24377.56</v>
      </c>
      <c r="O18" s="39">
        <v>25255.22</v>
      </c>
      <c r="P18" s="53">
        <v>17725.05</v>
      </c>
      <c r="Q18" s="53">
        <v>23740.23</v>
      </c>
      <c r="R18" s="53">
        <v>24079.23</v>
      </c>
      <c r="S18" s="53">
        <v>24565.8</v>
      </c>
      <c r="T18" s="53">
        <v>17730.740000000002</v>
      </c>
      <c r="U18" s="53">
        <v>24045.7</v>
      </c>
      <c r="V18" s="53">
        <v>19448.82</v>
      </c>
      <c r="W18" s="53">
        <v>22269.62</v>
      </c>
      <c r="X18" s="20">
        <v>21426.560000000001</v>
      </c>
      <c r="Y18" s="21">
        <v>22752.74</v>
      </c>
      <c r="Z18" s="21">
        <v>23250.959999999999</v>
      </c>
      <c r="AA18" s="21">
        <v>24662</v>
      </c>
      <c r="AB18" s="22">
        <v>26362</v>
      </c>
      <c r="AC18" s="229">
        <v>23049</v>
      </c>
      <c r="AD18" s="230">
        <v>25549</v>
      </c>
      <c r="AE18" s="230">
        <v>27549</v>
      </c>
      <c r="AF18" s="230">
        <v>29549</v>
      </c>
      <c r="AG18" s="231">
        <v>31549</v>
      </c>
      <c r="AH18" s="20">
        <v>25888.65</v>
      </c>
      <c r="AI18" s="21">
        <v>28045.23</v>
      </c>
      <c r="AJ18" s="21">
        <v>28682.35</v>
      </c>
      <c r="AK18" s="21">
        <v>29656.6</v>
      </c>
      <c r="AL18" s="21">
        <v>31341</v>
      </c>
      <c r="AM18" s="21">
        <v>29102.79</v>
      </c>
      <c r="AN18" s="22">
        <v>31271.79</v>
      </c>
      <c r="AO18" s="20">
        <v>28128.61</v>
      </c>
      <c r="AP18" s="21">
        <v>30479.34</v>
      </c>
      <c r="AQ18" s="21">
        <v>31173.72</v>
      </c>
      <c r="AR18" s="21">
        <v>32235.72</v>
      </c>
      <c r="AS18" s="21">
        <v>33235.72</v>
      </c>
      <c r="AT18" s="22">
        <v>32226.25</v>
      </c>
      <c r="AU18" s="20">
        <v>28243.61</v>
      </c>
      <c r="AV18" s="21">
        <v>33226.25</v>
      </c>
      <c r="AW18" s="21">
        <v>36895.03</v>
      </c>
      <c r="AX18" s="21">
        <v>40737.39</v>
      </c>
      <c r="AY18" s="21">
        <v>43678.91</v>
      </c>
      <c r="AZ18" s="21">
        <v>47021.5</v>
      </c>
      <c r="BA18" s="21">
        <v>49091.44</v>
      </c>
      <c r="BB18" s="21">
        <v>48843.519999999997</v>
      </c>
      <c r="BC18" s="22">
        <v>53677.39</v>
      </c>
      <c r="BD18" s="20">
        <v>36093.339999999997</v>
      </c>
      <c r="BE18" s="21">
        <v>40202.43</v>
      </c>
      <c r="BF18" s="21">
        <v>42121.63</v>
      </c>
      <c r="BG18" s="21">
        <v>46299.7</v>
      </c>
      <c r="BH18" s="21">
        <v>48782.78</v>
      </c>
      <c r="BI18" s="22">
        <v>49053.3</v>
      </c>
      <c r="BJ18" s="50">
        <v>73185.81</v>
      </c>
      <c r="BK18" s="22">
        <v>65508.800000000003</v>
      </c>
    </row>
    <row r="19" spans="1:63" x14ac:dyDescent="0.25">
      <c r="A19" s="19">
        <v>16</v>
      </c>
      <c r="B19" s="20">
        <v>19065.63</v>
      </c>
      <c r="C19" s="21">
        <v>19864.810000000001</v>
      </c>
      <c r="D19" s="21">
        <v>21590.17</v>
      </c>
      <c r="E19" s="22">
        <v>22590.17</v>
      </c>
      <c r="F19" s="20">
        <v>19567.060000000001</v>
      </c>
      <c r="G19" s="21">
        <v>20839.91</v>
      </c>
      <c r="H19" s="21">
        <v>22282.75</v>
      </c>
      <c r="I19" s="22">
        <v>23782.75</v>
      </c>
      <c r="J19" s="38">
        <v>19841.29</v>
      </c>
      <c r="K19" s="32">
        <v>20482.75</v>
      </c>
      <c r="L19" s="32">
        <v>22826.65</v>
      </c>
      <c r="M19" s="32">
        <v>24056.73</v>
      </c>
      <c r="N19" s="32">
        <v>24377.56</v>
      </c>
      <c r="O19" s="39">
        <v>25255.22</v>
      </c>
      <c r="P19" s="53">
        <v>17725.05</v>
      </c>
      <c r="Q19" s="53">
        <v>23740.23</v>
      </c>
      <c r="R19" s="53">
        <v>24079.23</v>
      </c>
      <c r="S19" s="53">
        <v>24565.8</v>
      </c>
      <c r="T19" s="53">
        <v>17730.740000000002</v>
      </c>
      <c r="U19" s="53">
        <v>24045.7</v>
      </c>
      <c r="V19" s="53">
        <v>19448.82</v>
      </c>
      <c r="W19" s="53">
        <v>22269.62</v>
      </c>
      <c r="X19" s="20">
        <v>21624.880000000001</v>
      </c>
      <c r="Y19" s="21">
        <v>23000.639999999999</v>
      </c>
      <c r="Z19" s="21">
        <v>23481.51</v>
      </c>
      <c r="AA19" s="21">
        <v>24862</v>
      </c>
      <c r="AB19" s="22">
        <v>26562</v>
      </c>
      <c r="AC19" s="229">
        <v>23318</v>
      </c>
      <c r="AD19" s="230">
        <v>25818</v>
      </c>
      <c r="AE19" s="230">
        <v>27818</v>
      </c>
      <c r="AF19" s="230">
        <v>29818</v>
      </c>
      <c r="AG19" s="231">
        <v>31818</v>
      </c>
      <c r="AH19" s="20">
        <v>26176.21</v>
      </c>
      <c r="AI19" s="21">
        <v>28350.14</v>
      </c>
      <c r="AJ19" s="21">
        <v>29004.62</v>
      </c>
      <c r="AK19" s="21">
        <v>30003.66</v>
      </c>
      <c r="AL19" s="21">
        <v>31610</v>
      </c>
      <c r="AM19" s="21">
        <v>29449.85</v>
      </c>
      <c r="AN19" s="22">
        <v>31594.06</v>
      </c>
      <c r="AO19" s="20">
        <v>28442.05</v>
      </c>
      <c r="AP19" s="21">
        <v>30811.7</v>
      </c>
      <c r="AQ19" s="21">
        <v>31524.99</v>
      </c>
      <c r="AR19" s="21">
        <v>32614.01</v>
      </c>
      <c r="AS19" s="21">
        <v>33614.009999999995</v>
      </c>
      <c r="AT19" s="22">
        <v>32548.52</v>
      </c>
      <c r="AU19" s="20">
        <v>28493.99</v>
      </c>
      <c r="AV19" s="21">
        <v>33548.520000000004</v>
      </c>
      <c r="AW19" s="21">
        <v>37291.660000000003</v>
      </c>
      <c r="AX19" s="21">
        <v>41158.81</v>
      </c>
      <c r="AY19" s="21">
        <v>44125.120000000003</v>
      </c>
      <c r="AZ19" s="21">
        <v>47257</v>
      </c>
      <c r="BA19" s="21">
        <v>49463.29</v>
      </c>
      <c r="BB19" s="21">
        <v>50330.89</v>
      </c>
      <c r="BC19" s="22">
        <v>55288.7</v>
      </c>
      <c r="BD19" s="20">
        <v>36454.28</v>
      </c>
      <c r="BE19" s="21">
        <v>40646.660000000003</v>
      </c>
      <c r="BF19" s="21">
        <v>42568.34</v>
      </c>
      <c r="BG19" s="21">
        <v>46772.69</v>
      </c>
      <c r="BH19" s="21">
        <v>49032.41</v>
      </c>
      <c r="BI19" s="22">
        <v>49432.58</v>
      </c>
      <c r="BJ19" s="50">
        <v>73185.81</v>
      </c>
      <c r="BK19" s="22">
        <v>65508.800000000003</v>
      </c>
    </row>
    <row r="20" spans="1:63" x14ac:dyDescent="0.25">
      <c r="A20" s="19">
        <v>17</v>
      </c>
      <c r="B20" s="20">
        <v>19201.98</v>
      </c>
      <c r="C20" s="21">
        <v>20013.55</v>
      </c>
      <c r="D20" s="21">
        <v>21778.57</v>
      </c>
      <c r="E20" s="22">
        <v>22778.57</v>
      </c>
      <c r="F20" s="20">
        <v>20190.669999999998</v>
      </c>
      <c r="G20" s="21">
        <v>21375.040000000001</v>
      </c>
      <c r="H20" s="21">
        <v>22906.36</v>
      </c>
      <c r="I20" s="22">
        <v>24406.36</v>
      </c>
      <c r="J20" s="38">
        <v>20464.900000000001</v>
      </c>
      <c r="K20" s="32">
        <v>21106.36</v>
      </c>
      <c r="L20" s="32">
        <v>23450.26</v>
      </c>
      <c r="M20" s="32">
        <v>24680.34</v>
      </c>
      <c r="N20" s="32">
        <v>25001.17</v>
      </c>
      <c r="O20" s="39">
        <v>25878.83</v>
      </c>
      <c r="P20" s="53">
        <v>17725.05</v>
      </c>
      <c r="Q20" s="53">
        <v>23740.23</v>
      </c>
      <c r="R20" s="53">
        <v>24079.23</v>
      </c>
      <c r="S20" s="53">
        <v>24565.8</v>
      </c>
      <c r="T20" s="53">
        <v>17730.740000000002</v>
      </c>
      <c r="U20" s="53">
        <v>24045.7</v>
      </c>
      <c r="V20" s="53">
        <v>19448.82</v>
      </c>
      <c r="W20" s="53">
        <v>22269.62</v>
      </c>
      <c r="X20" s="20">
        <v>21823.200000000001</v>
      </c>
      <c r="Y20" s="21">
        <v>23248.54</v>
      </c>
      <c r="Z20" s="21">
        <v>23712.06</v>
      </c>
      <c r="AA20" s="21">
        <v>25062</v>
      </c>
      <c r="AB20" s="22">
        <v>26762</v>
      </c>
      <c r="AC20" s="229">
        <v>23588</v>
      </c>
      <c r="AD20" s="230">
        <v>26088</v>
      </c>
      <c r="AE20" s="230">
        <v>28088</v>
      </c>
      <c r="AF20" s="230">
        <v>30088</v>
      </c>
      <c r="AG20" s="231">
        <v>32088</v>
      </c>
      <c r="AH20" s="20">
        <v>26463.77</v>
      </c>
      <c r="AI20" s="21">
        <v>28655.05</v>
      </c>
      <c r="AJ20" s="21">
        <v>29326.89</v>
      </c>
      <c r="AK20" s="21">
        <v>30350.720000000001</v>
      </c>
      <c r="AL20" s="21">
        <v>31880</v>
      </c>
      <c r="AM20" s="21">
        <v>29796.91</v>
      </c>
      <c r="AN20" s="22">
        <v>31916.33</v>
      </c>
      <c r="AO20" s="20">
        <v>28755.49</v>
      </c>
      <c r="AP20" s="21">
        <v>31144.06</v>
      </c>
      <c r="AQ20" s="21">
        <v>31876.26</v>
      </c>
      <c r="AR20" s="21">
        <v>32992.300000000003</v>
      </c>
      <c r="AS20" s="21">
        <v>33992.300000000003</v>
      </c>
      <c r="AT20" s="22">
        <v>32870.79</v>
      </c>
      <c r="AU20" s="20">
        <v>28744.37</v>
      </c>
      <c r="AV20" s="21">
        <v>33870.79</v>
      </c>
      <c r="AW20" s="21">
        <v>37688.29</v>
      </c>
      <c r="AX20" s="21">
        <v>41580.230000000003</v>
      </c>
      <c r="AY20" s="21">
        <v>44571.33</v>
      </c>
      <c r="AZ20" s="21">
        <v>47492.5</v>
      </c>
      <c r="BA20" s="21">
        <v>49835.14</v>
      </c>
      <c r="BB20" s="21">
        <v>50330.89</v>
      </c>
      <c r="BC20" s="22">
        <v>55288.7</v>
      </c>
      <c r="BD20" s="20">
        <v>36815.22</v>
      </c>
      <c r="BE20" s="21">
        <v>41090.89</v>
      </c>
      <c r="BF20" s="21">
        <v>43015.05</v>
      </c>
      <c r="BG20" s="21">
        <v>47245.68</v>
      </c>
      <c r="BH20" s="21">
        <v>49282.04</v>
      </c>
      <c r="BI20" s="22">
        <v>49811.86</v>
      </c>
      <c r="BJ20" s="50">
        <v>73185.81</v>
      </c>
      <c r="BK20" s="22">
        <v>65508.800000000003</v>
      </c>
    </row>
    <row r="21" spans="1:63" x14ac:dyDescent="0.25">
      <c r="A21" s="19">
        <v>18</v>
      </c>
      <c r="B21" s="20">
        <v>19338.330000000002</v>
      </c>
      <c r="C21" s="21">
        <v>20162.29</v>
      </c>
      <c r="D21" s="21">
        <v>21966.97</v>
      </c>
      <c r="E21" s="22">
        <v>22966.97</v>
      </c>
      <c r="F21" s="20">
        <v>20190.669999999998</v>
      </c>
      <c r="G21" s="21">
        <v>21375.040000000001</v>
      </c>
      <c r="H21" s="21">
        <v>22906.36</v>
      </c>
      <c r="I21" s="22">
        <v>24406.36</v>
      </c>
      <c r="J21" s="38">
        <v>20464.900000000001</v>
      </c>
      <c r="K21" s="32">
        <v>21106.36</v>
      </c>
      <c r="L21" s="32">
        <v>23450.26</v>
      </c>
      <c r="M21" s="32">
        <v>24680.34</v>
      </c>
      <c r="N21" s="32">
        <v>25001.17</v>
      </c>
      <c r="O21" s="39">
        <v>25878.33</v>
      </c>
      <c r="P21" s="53">
        <v>17725.05</v>
      </c>
      <c r="Q21" s="53">
        <v>23740.23</v>
      </c>
      <c r="R21" s="53">
        <v>24079.23</v>
      </c>
      <c r="S21" s="53">
        <v>24565.8</v>
      </c>
      <c r="T21" s="53">
        <v>17730.740000000002</v>
      </c>
      <c r="U21" s="53">
        <v>24045.7</v>
      </c>
      <c r="V21" s="53">
        <v>19448.82</v>
      </c>
      <c r="W21" s="53">
        <v>22269.62</v>
      </c>
      <c r="X21" s="20">
        <v>22021.52</v>
      </c>
      <c r="Y21" s="21">
        <v>23496.44</v>
      </c>
      <c r="Z21" s="21">
        <v>23942.61</v>
      </c>
      <c r="AA21" s="21">
        <v>25262</v>
      </c>
      <c r="AB21" s="22">
        <v>26962</v>
      </c>
      <c r="AC21" s="229">
        <v>23858</v>
      </c>
      <c r="AD21" s="230">
        <v>26358</v>
      </c>
      <c r="AE21" s="230">
        <v>28358</v>
      </c>
      <c r="AF21" s="230">
        <v>30358</v>
      </c>
      <c r="AG21" s="231">
        <v>32358</v>
      </c>
      <c r="AH21" s="20">
        <v>26751.33</v>
      </c>
      <c r="AI21" s="21">
        <v>28959.96</v>
      </c>
      <c r="AJ21" s="21">
        <v>29649.16</v>
      </c>
      <c r="AK21" s="21">
        <v>30697.78</v>
      </c>
      <c r="AL21" s="21">
        <v>32150</v>
      </c>
      <c r="AM21" s="21">
        <v>30143.97</v>
      </c>
      <c r="AN21" s="22">
        <v>32238.6</v>
      </c>
      <c r="AO21" s="20">
        <v>29068.93</v>
      </c>
      <c r="AP21" s="21">
        <v>31476.42</v>
      </c>
      <c r="AQ21" s="21">
        <v>32227.53</v>
      </c>
      <c r="AR21" s="21">
        <v>33370.589999999997</v>
      </c>
      <c r="AS21" s="21">
        <v>34370.589999999997</v>
      </c>
      <c r="AT21" s="22">
        <v>33193.06</v>
      </c>
      <c r="AU21" s="20">
        <v>28994.75</v>
      </c>
      <c r="AV21" s="21">
        <v>34193.06</v>
      </c>
      <c r="AW21" s="21">
        <v>38084.92</v>
      </c>
      <c r="AX21" s="21">
        <v>42001.65</v>
      </c>
      <c r="AY21" s="21">
        <v>45017.54</v>
      </c>
      <c r="AZ21" s="21">
        <v>47728</v>
      </c>
      <c r="BA21" s="21">
        <v>50206.99</v>
      </c>
      <c r="BB21" s="21">
        <v>51818.26</v>
      </c>
      <c r="BC21" s="22">
        <v>56900.01</v>
      </c>
      <c r="BD21" s="20">
        <v>37176.160000000003</v>
      </c>
      <c r="BE21" s="21">
        <v>41535.120000000003</v>
      </c>
      <c r="BF21" s="21">
        <v>43461.760000000002</v>
      </c>
      <c r="BG21" s="21">
        <v>47718.67</v>
      </c>
      <c r="BH21" s="21">
        <v>49531.67</v>
      </c>
      <c r="BI21" s="22">
        <v>50191.14</v>
      </c>
      <c r="BJ21" s="50">
        <v>73185.81</v>
      </c>
      <c r="BK21" s="22">
        <v>65508.800000000003</v>
      </c>
    </row>
    <row r="22" spans="1:63" x14ac:dyDescent="0.25">
      <c r="A22" s="19">
        <v>19</v>
      </c>
      <c r="B22" s="20">
        <v>19474.68</v>
      </c>
      <c r="C22" s="21">
        <v>20311.03</v>
      </c>
      <c r="D22" s="21">
        <v>22155.37</v>
      </c>
      <c r="E22" s="22">
        <v>23155.37</v>
      </c>
      <c r="F22" s="20">
        <v>20814.28</v>
      </c>
      <c r="G22" s="21">
        <v>21910.17</v>
      </c>
      <c r="H22" s="21">
        <v>23529.97</v>
      </c>
      <c r="I22" s="22">
        <v>25029.97</v>
      </c>
      <c r="J22" s="38">
        <v>21088.51</v>
      </c>
      <c r="K22" s="32">
        <v>21729.97</v>
      </c>
      <c r="L22" s="32">
        <v>24073.87</v>
      </c>
      <c r="M22" s="32">
        <v>25303.95</v>
      </c>
      <c r="N22" s="32">
        <v>25624.78</v>
      </c>
      <c r="O22" s="39">
        <v>26502.44</v>
      </c>
      <c r="P22" s="53">
        <v>17725.05</v>
      </c>
      <c r="Q22" s="53">
        <v>23740.23</v>
      </c>
      <c r="R22" s="53">
        <v>24079.23</v>
      </c>
      <c r="S22" s="53">
        <v>24565.8</v>
      </c>
      <c r="T22" s="53">
        <v>17730.740000000002</v>
      </c>
      <c r="U22" s="53">
        <v>24045.7</v>
      </c>
      <c r="V22" s="53">
        <v>19448.82</v>
      </c>
      <c r="W22" s="53">
        <v>22269.62</v>
      </c>
      <c r="X22" s="20">
        <v>22219.84</v>
      </c>
      <c r="Y22" s="21">
        <v>23744.34</v>
      </c>
      <c r="Z22" s="21">
        <v>24173.16</v>
      </c>
      <c r="AA22" s="21">
        <v>25461</v>
      </c>
      <c r="AB22" s="22">
        <v>27161</v>
      </c>
      <c r="AC22" s="229">
        <v>24127</v>
      </c>
      <c r="AD22" s="230">
        <v>26627</v>
      </c>
      <c r="AE22" s="230">
        <v>28627</v>
      </c>
      <c r="AF22" s="230">
        <v>30627</v>
      </c>
      <c r="AG22" s="231">
        <v>32627</v>
      </c>
      <c r="AH22" s="20">
        <v>27038.89</v>
      </c>
      <c r="AI22" s="21">
        <v>29264.87</v>
      </c>
      <c r="AJ22" s="21">
        <v>29971.43</v>
      </c>
      <c r="AK22" s="21">
        <v>31044.84</v>
      </c>
      <c r="AL22" s="21">
        <v>32419</v>
      </c>
      <c r="AM22" s="21">
        <v>30491.03</v>
      </c>
      <c r="AN22" s="22">
        <v>32560.87</v>
      </c>
      <c r="AO22" s="20">
        <v>29382.37</v>
      </c>
      <c r="AP22" s="21">
        <v>31808.78</v>
      </c>
      <c r="AQ22" s="21">
        <v>32578.799999999999</v>
      </c>
      <c r="AR22" s="21">
        <v>33748.880000000005</v>
      </c>
      <c r="AS22" s="21">
        <v>34748.880000000005</v>
      </c>
      <c r="AT22" s="22">
        <v>33515.33</v>
      </c>
      <c r="AU22" s="20">
        <v>29245.13</v>
      </c>
      <c r="AV22" s="21">
        <v>34515.33</v>
      </c>
      <c r="AW22" s="21">
        <v>38481.550000000003</v>
      </c>
      <c r="AX22" s="21">
        <v>42423.07</v>
      </c>
      <c r="AY22" s="21">
        <v>45463.75</v>
      </c>
      <c r="AZ22" s="21">
        <v>47963.5</v>
      </c>
      <c r="BA22" s="21">
        <v>50578.84</v>
      </c>
      <c r="BB22" s="21">
        <v>51818.26</v>
      </c>
      <c r="BC22" s="22">
        <v>56900.01</v>
      </c>
      <c r="BD22" s="20">
        <v>37537.1</v>
      </c>
      <c r="BE22" s="21">
        <v>41979.35</v>
      </c>
      <c r="BF22" s="21">
        <v>43908.47</v>
      </c>
      <c r="BG22" s="21">
        <v>48191.66</v>
      </c>
      <c r="BH22" s="21">
        <v>49781.3</v>
      </c>
      <c r="BI22" s="22">
        <v>50570.42</v>
      </c>
      <c r="BJ22" s="50">
        <v>73185.81</v>
      </c>
      <c r="BK22" s="22">
        <v>65508.800000000003</v>
      </c>
    </row>
    <row r="23" spans="1:63" x14ac:dyDescent="0.25">
      <c r="A23" s="19">
        <v>20</v>
      </c>
      <c r="B23" s="20">
        <v>19517.573</v>
      </c>
      <c r="C23" s="21">
        <v>20459.77</v>
      </c>
      <c r="D23" s="21">
        <v>22343.77</v>
      </c>
      <c r="E23" s="22">
        <v>23343.77</v>
      </c>
      <c r="F23" s="20">
        <v>20814.28</v>
      </c>
      <c r="G23" s="21">
        <v>21910.17</v>
      </c>
      <c r="H23" s="21">
        <v>23529.97</v>
      </c>
      <c r="I23" s="22">
        <v>25029.97</v>
      </c>
      <c r="J23" s="38">
        <v>21088.51</v>
      </c>
      <c r="K23" s="32">
        <v>21729.97</v>
      </c>
      <c r="L23" s="32">
        <v>24073.87</v>
      </c>
      <c r="M23" s="32">
        <v>25303.95</v>
      </c>
      <c r="N23" s="32">
        <v>25624.78</v>
      </c>
      <c r="O23" s="39">
        <v>26502.44</v>
      </c>
      <c r="P23" s="53">
        <v>17725.05</v>
      </c>
      <c r="Q23" s="53">
        <v>23740.23</v>
      </c>
      <c r="R23" s="53">
        <v>24079.23</v>
      </c>
      <c r="S23" s="53">
        <v>24565.8</v>
      </c>
      <c r="T23" s="53">
        <v>17730.740000000002</v>
      </c>
      <c r="U23" s="53">
        <v>24045.7</v>
      </c>
      <c r="V23" s="53">
        <v>19448.82</v>
      </c>
      <c r="W23" s="53">
        <v>22269.62</v>
      </c>
      <c r="X23" s="20">
        <v>22418.16</v>
      </c>
      <c r="Y23" s="21">
        <v>23992.240000000002</v>
      </c>
      <c r="Z23" s="21">
        <v>24403.71</v>
      </c>
      <c r="AA23" s="21">
        <v>25661</v>
      </c>
      <c r="AB23" s="22">
        <v>27361</v>
      </c>
      <c r="AC23" s="229">
        <v>24397</v>
      </c>
      <c r="AD23" s="230">
        <v>26897</v>
      </c>
      <c r="AE23" s="230">
        <v>28897</v>
      </c>
      <c r="AF23" s="230">
        <v>30897</v>
      </c>
      <c r="AG23" s="231">
        <v>32897</v>
      </c>
      <c r="AH23" s="20">
        <v>27326.45</v>
      </c>
      <c r="AI23" s="21">
        <v>29569.78</v>
      </c>
      <c r="AJ23" s="21">
        <v>30293.7</v>
      </c>
      <c r="AK23" s="21">
        <v>31391.9</v>
      </c>
      <c r="AL23" s="21">
        <v>32689</v>
      </c>
      <c r="AM23" s="21">
        <v>30838.09</v>
      </c>
      <c r="AN23" s="22">
        <v>32883.14</v>
      </c>
      <c r="AO23" s="20">
        <v>29695.81</v>
      </c>
      <c r="AP23" s="21">
        <v>32141.14</v>
      </c>
      <c r="AQ23" s="21">
        <v>32930.07</v>
      </c>
      <c r="AR23" s="21">
        <v>34127.17</v>
      </c>
      <c r="AS23" s="21">
        <v>35127.17</v>
      </c>
      <c r="AT23" s="22">
        <v>33837.599999999999</v>
      </c>
      <c r="AU23" s="20">
        <v>29495.51</v>
      </c>
      <c r="AV23" s="21">
        <v>34837.599999999999</v>
      </c>
      <c r="AW23" s="21">
        <v>38878.18</v>
      </c>
      <c r="AX23" s="21">
        <v>42844.49</v>
      </c>
      <c r="AY23" s="21">
        <v>45909.96</v>
      </c>
      <c r="AZ23" s="21">
        <v>48199</v>
      </c>
      <c r="BA23" s="21">
        <v>50950.69</v>
      </c>
      <c r="BB23" s="21">
        <v>53305.63</v>
      </c>
      <c r="BC23" s="22">
        <v>58511.32</v>
      </c>
      <c r="BD23" s="20">
        <v>37898.04</v>
      </c>
      <c r="BE23" s="21">
        <v>42423.58</v>
      </c>
      <c r="BF23" s="21">
        <v>44355.18</v>
      </c>
      <c r="BG23" s="21">
        <v>48664.65</v>
      </c>
      <c r="BH23" s="21">
        <v>50030.93</v>
      </c>
      <c r="BI23" s="22">
        <v>50949.7</v>
      </c>
      <c r="BJ23" s="50">
        <v>73185.81</v>
      </c>
      <c r="BK23" s="22">
        <v>65508.800000000003</v>
      </c>
    </row>
    <row r="24" spans="1:63" x14ac:dyDescent="0.25">
      <c r="A24" s="19">
        <v>21</v>
      </c>
      <c r="B24" s="20">
        <v>19567.38</v>
      </c>
      <c r="C24" s="21">
        <v>20608.509999999998</v>
      </c>
      <c r="D24" s="21">
        <v>22532.17</v>
      </c>
      <c r="E24" s="22">
        <v>23532.17</v>
      </c>
      <c r="F24" s="20">
        <v>21437.89</v>
      </c>
      <c r="G24" s="21">
        <v>22445.3</v>
      </c>
      <c r="H24" s="21">
        <v>24153.58</v>
      </c>
      <c r="I24" s="22">
        <v>25653.58</v>
      </c>
      <c r="J24" s="38">
        <v>21712.12</v>
      </c>
      <c r="K24" s="32">
        <v>22353.58</v>
      </c>
      <c r="L24" s="32">
        <v>24430.21</v>
      </c>
      <c r="M24" s="32">
        <v>25660.29</v>
      </c>
      <c r="N24" s="32">
        <v>26248.39</v>
      </c>
      <c r="O24" s="39">
        <v>27126.05</v>
      </c>
      <c r="P24" s="53">
        <v>17725.05</v>
      </c>
      <c r="Q24" s="53">
        <v>23740.23</v>
      </c>
      <c r="R24" s="53">
        <v>24079.23</v>
      </c>
      <c r="S24" s="53">
        <v>24565.8</v>
      </c>
      <c r="T24" s="53">
        <v>17730.740000000002</v>
      </c>
      <c r="U24" s="53">
        <v>24045.7</v>
      </c>
      <c r="V24" s="53">
        <v>19448.82</v>
      </c>
      <c r="W24" s="53">
        <v>22269.62</v>
      </c>
      <c r="X24" s="20">
        <v>22616.48</v>
      </c>
      <c r="Y24" s="21">
        <v>24153.38</v>
      </c>
      <c r="Z24" s="21">
        <v>24634.26</v>
      </c>
      <c r="AA24" s="21">
        <v>25861</v>
      </c>
      <c r="AB24" s="22">
        <v>27561</v>
      </c>
      <c r="AC24" s="229">
        <v>24667</v>
      </c>
      <c r="AD24" s="230">
        <v>27167</v>
      </c>
      <c r="AE24" s="230">
        <v>29167</v>
      </c>
      <c r="AF24" s="230">
        <v>31167</v>
      </c>
      <c r="AG24" s="231">
        <v>33167</v>
      </c>
      <c r="AH24" s="20">
        <v>27614.02</v>
      </c>
      <c r="AI24" s="21">
        <v>29874.69</v>
      </c>
      <c r="AJ24" s="21">
        <v>30615.97</v>
      </c>
      <c r="AK24" s="21">
        <v>31738.959999999999</v>
      </c>
      <c r="AL24" s="21">
        <v>32959</v>
      </c>
      <c r="AM24" s="21">
        <v>31185.15</v>
      </c>
      <c r="AN24" s="22">
        <v>33205.410000000003</v>
      </c>
      <c r="AO24" s="20">
        <v>30009.25</v>
      </c>
      <c r="AP24" s="21">
        <v>32473.5</v>
      </c>
      <c r="AQ24" s="21">
        <v>33281.339999999997</v>
      </c>
      <c r="AR24" s="21">
        <v>34505.46</v>
      </c>
      <c r="AS24" s="21">
        <v>35505.46</v>
      </c>
      <c r="AT24" s="22">
        <v>34159.870000000003</v>
      </c>
      <c r="AU24" s="20">
        <v>29745.89</v>
      </c>
      <c r="AV24" s="21">
        <v>35159.870000000003</v>
      </c>
      <c r="AW24" s="21">
        <v>39274.81</v>
      </c>
      <c r="AX24" s="21">
        <v>43265.91</v>
      </c>
      <c r="AY24" s="21">
        <v>46356.17</v>
      </c>
      <c r="AZ24" s="21">
        <v>48434.5</v>
      </c>
      <c r="BA24" s="21">
        <v>51322.54</v>
      </c>
      <c r="BB24" s="21">
        <v>53305.63</v>
      </c>
      <c r="BC24" s="22">
        <v>58511.32</v>
      </c>
      <c r="BD24" s="20">
        <v>38258.980000000003</v>
      </c>
      <c r="BE24" s="21">
        <v>42867.81</v>
      </c>
      <c r="BF24" s="21">
        <v>44801.89</v>
      </c>
      <c r="BG24" s="21">
        <v>49137.64</v>
      </c>
      <c r="BH24" s="21">
        <v>50280.56</v>
      </c>
      <c r="BI24" s="22">
        <v>51328.98</v>
      </c>
      <c r="BJ24" s="50">
        <v>73185.81</v>
      </c>
      <c r="BK24" s="22">
        <v>65508.800000000003</v>
      </c>
    </row>
    <row r="25" spans="1:63" x14ac:dyDescent="0.25">
      <c r="A25" s="19">
        <v>22</v>
      </c>
      <c r="B25" s="20">
        <v>19703.73</v>
      </c>
      <c r="C25" s="21">
        <v>20757.25</v>
      </c>
      <c r="D25" s="21">
        <v>22720.57</v>
      </c>
      <c r="E25" s="22">
        <v>23720.57</v>
      </c>
      <c r="F25" s="20">
        <v>21437.89</v>
      </c>
      <c r="G25" s="21">
        <v>22445.3</v>
      </c>
      <c r="H25" s="21">
        <v>24153.58</v>
      </c>
      <c r="I25" s="22">
        <v>25653.58</v>
      </c>
      <c r="J25" s="38">
        <v>21712.12</v>
      </c>
      <c r="K25" s="32">
        <v>22353.58</v>
      </c>
      <c r="L25" s="32">
        <v>24430.21</v>
      </c>
      <c r="M25" s="32">
        <v>25660.29</v>
      </c>
      <c r="N25" s="32">
        <v>26248.39</v>
      </c>
      <c r="O25" s="39">
        <v>27126.05</v>
      </c>
      <c r="P25" s="53">
        <v>17725.05</v>
      </c>
      <c r="Q25" s="53">
        <v>23740.23</v>
      </c>
      <c r="R25" s="53">
        <v>24079.23</v>
      </c>
      <c r="S25" s="53">
        <v>24565.8</v>
      </c>
      <c r="T25" s="53">
        <v>17730.740000000002</v>
      </c>
      <c r="U25" s="53">
        <v>24045.7</v>
      </c>
      <c r="V25" s="53">
        <v>19448.82</v>
      </c>
      <c r="W25" s="53">
        <v>22269.62</v>
      </c>
      <c r="X25" s="20">
        <v>22814.799999999999</v>
      </c>
      <c r="Y25" s="21">
        <v>24314.52</v>
      </c>
      <c r="Z25" s="21">
        <v>24864.81</v>
      </c>
      <c r="AA25" s="21">
        <v>26087</v>
      </c>
      <c r="AB25" s="22">
        <v>27761</v>
      </c>
      <c r="AC25" s="229">
        <v>24936</v>
      </c>
      <c r="AD25" s="230">
        <v>27436</v>
      </c>
      <c r="AE25" s="230">
        <v>29436</v>
      </c>
      <c r="AF25" s="230">
        <v>31436</v>
      </c>
      <c r="AG25" s="231">
        <v>33436</v>
      </c>
      <c r="AH25" s="20">
        <v>27901.57</v>
      </c>
      <c r="AI25" s="21">
        <v>30179.599999999999</v>
      </c>
      <c r="AJ25" s="21">
        <v>30938.240000000002</v>
      </c>
      <c r="AK25" s="21">
        <v>32086.02</v>
      </c>
      <c r="AL25" s="21">
        <v>33228</v>
      </c>
      <c r="AM25" s="21">
        <v>31532.21</v>
      </c>
      <c r="AN25" s="22">
        <v>33527.68</v>
      </c>
      <c r="AO25" s="20">
        <v>30322.69</v>
      </c>
      <c r="AP25" s="21">
        <v>32805.86</v>
      </c>
      <c r="AQ25" s="21">
        <v>33632.61</v>
      </c>
      <c r="AR25" s="21">
        <v>34883.75</v>
      </c>
      <c r="AS25" s="21">
        <v>35883.75</v>
      </c>
      <c r="AT25" s="22">
        <v>34482.14</v>
      </c>
      <c r="AU25" s="20">
        <v>29996.27</v>
      </c>
      <c r="AV25" s="21">
        <v>35482.14</v>
      </c>
      <c r="AW25" s="21">
        <v>39671.440000000002</v>
      </c>
      <c r="AX25" s="21">
        <v>43687.33</v>
      </c>
      <c r="AY25" s="21">
        <v>46802.38</v>
      </c>
      <c r="AZ25" s="21">
        <v>48670</v>
      </c>
      <c r="BA25" s="21">
        <v>51694.39</v>
      </c>
      <c r="BB25" s="21">
        <v>54793</v>
      </c>
      <c r="BC25" s="22">
        <v>60122.63</v>
      </c>
      <c r="BD25" s="20">
        <v>38619.919999999998</v>
      </c>
      <c r="BE25" s="21">
        <v>43312.04</v>
      </c>
      <c r="BF25" s="21">
        <v>45248.6</v>
      </c>
      <c r="BG25" s="21">
        <v>49610.63</v>
      </c>
      <c r="BH25" s="21">
        <v>50530.19</v>
      </c>
      <c r="BI25" s="22">
        <v>51708.26</v>
      </c>
      <c r="BJ25" s="50">
        <v>73185.81</v>
      </c>
      <c r="BK25" s="22">
        <v>65508.800000000003</v>
      </c>
    </row>
    <row r="26" spans="1:63" x14ac:dyDescent="0.25">
      <c r="A26" s="19">
        <v>23</v>
      </c>
      <c r="B26" s="20">
        <v>19840.080000000002</v>
      </c>
      <c r="C26" s="21">
        <v>20905.990000000002</v>
      </c>
      <c r="D26" s="21">
        <v>22908.97</v>
      </c>
      <c r="E26" s="22">
        <v>23908.97</v>
      </c>
      <c r="F26" s="20">
        <v>22061.5</v>
      </c>
      <c r="G26" s="21">
        <v>22980.43</v>
      </c>
      <c r="H26" s="21">
        <v>24777.19</v>
      </c>
      <c r="I26" s="22">
        <v>26277.19</v>
      </c>
      <c r="J26" s="38">
        <v>22335.73</v>
      </c>
      <c r="K26" s="32">
        <v>22977.19</v>
      </c>
      <c r="L26" s="32">
        <v>24786.55</v>
      </c>
      <c r="M26" s="32">
        <v>26016.63</v>
      </c>
      <c r="N26" s="32">
        <v>26872</v>
      </c>
      <c r="O26" s="39">
        <v>27749.66</v>
      </c>
      <c r="P26" s="53">
        <v>17725.05</v>
      </c>
      <c r="Q26" s="53">
        <v>23740.23</v>
      </c>
      <c r="R26" s="53">
        <v>24079.23</v>
      </c>
      <c r="S26" s="53">
        <v>24565.8</v>
      </c>
      <c r="T26" s="53">
        <v>17730.740000000002</v>
      </c>
      <c r="U26" s="53">
        <v>24045.7</v>
      </c>
      <c r="V26" s="53">
        <v>19448.82</v>
      </c>
      <c r="W26" s="53">
        <v>22269.62</v>
      </c>
      <c r="X26" s="20">
        <v>23013.119999999999</v>
      </c>
      <c r="Y26" s="21">
        <v>24475.66</v>
      </c>
      <c r="Z26" s="21">
        <v>25095.360000000001</v>
      </c>
      <c r="AA26" s="21">
        <v>26335</v>
      </c>
      <c r="AB26" s="22">
        <v>27960</v>
      </c>
      <c r="AC26" s="229">
        <v>25206</v>
      </c>
      <c r="AD26" s="230">
        <v>27706</v>
      </c>
      <c r="AE26" s="230">
        <v>29706</v>
      </c>
      <c r="AF26" s="230">
        <v>31706</v>
      </c>
      <c r="AG26" s="231">
        <v>33706</v>
      </c>
      <c r="AH26" s="20">
        <v>28189.13</v>
      </c>
      <c r="AI26" s="21">
        <v>30484.51</v>
      </c>
      <c r="AJ26" s="21">
        <v>31260.51</v>
      </c>
      <c r="AK26" s="21">
        <v>32433.08</v>
      </c>
      <c r="AL26" s="21">
        <v>33498</v>
      </c>
      <c r="AM26" s="21">
        <v>31879.27</v>
      </c>
      <c r="AN26" s="22">
        <v>33849.949999999997</v>
      </c>
      <c r="AO26" s="20">
        <v>30636.13</v>
      </c>
      <c r="AP26" s="21">
        <v>33138.22</v>
      </c>
      <c r="AQ26" s="21">
        <v>33983.879999999997</v>
      </c>
      <c r="AR26" s="21">
        <v>35262.04</v>
      </c>
      <c r="AS26" s="21">
        <v>36262.04</v>
      </c>
      <c r="AT26" s="22">
        <v>34804.410000000003</v>
      </c>
      <c r="AU26" s="20">
        <v>30246.65</v>
      </c>
      <c r="AV26" s="21">
        <v>35804.410000000003</v>
      </c>
      <c r="AW26" s="21">
        <v>40068.07</v>
      </c>
      <c r="AX26" s="21">
        <v>44108.75</v>
      </c>
      <c r="AY26" s="21">
        <v>47248.59</v>
      </c>
      <c r="AZ26" s="21">
        <v>48905.5</v>
      </c>
      <c r="BA26" s="21">
        <v>52066.239999999998</v>
      </c>
      <c r="BB26" s="21">
        <v>54793</v>
      </c>
      <c r="BC26" s="22">
        <v>60122.63</v>
      </c>
      <c r="BD26" s="20">
        <v>38980.86</v>
      </c>
      <c r="BE26" s="21">
        <v>43756.27</v>
      </c>
      <c r="BF26" s="21">
        <v>45695.31</v>
      </c>
      <c r="BG26" s="21">
        <v>50083.62</v>
      </c>
      <c r="BH26" s="21">
        <v>50779.82</v>
      </c>
      <c r="BI26" s="22">
        <v>52087.54</v>
      </c>
      <c r="BJ26" s="50">
        <v>73185.81</v>
      </c>
      <c r="BK26" s="22">
        <v>65508.800000000003</v>
      </c>
    </row>
    <row r="27" spans="1:63" x14ac:dyDescent="0.25">
      <c r="A27" s="19">
        <v>24</v>
      </c>
      <c r="B27" s="20">
        <v>19964.03</v>
      </c>
      <c r="C27" s="21">
        <v>21054.73</v>
      </c>
      <c r="D27" s="21">
        <v>23097.37</v>
      </c>
      <c r="E27" s="22">
        <v>24097.37</v>
      </c>
      <c r="F27" s="20">
        <v>22061.5</v>
      </c>
      <c r="G27" s="21">
        <v>22980.43</v>
      </c>
      <c r="H27" s="21">
        <v>24777.19</v>
      </c>
      <c r="I27" s="22">
        <v>26277.19</v>
      </c>
      <c r="J27" s="38">
        <v>22335.73</v>
      </c>
      <c r="K27" s="32">
        <v>22977.19</v>
      </c>
      <c r="L27" s="32">
        <v>24786.55</v>
      </c>
      <c r="M27" s="32">
        <v>26016.63</v>
      </c>
      <c r="N27" s="32">
        <v>26872</v>
      </c>
      <c r="O27" s="39">
        <v>27749.66</v>
      </c>
      <c r="P27" s="53">
        <v>17725.05</v>
      </c>
      <c r="Q27" s="53">
        <v>23740.23</v>
      </c>
      <c r="R27" s="53">
        <v>24079.23</v>
      </c>
      <c r="S27" s="53">
        <v>24565.8</v>
      </c>
      <c r="T27" s="53">
        <v>17730.740000000002</v>
      </c>
      <c r="U27" s="53">
        <v>24045.7</v>
      </c>
      <c r="V27" s="53">
        <v>19448.82</v>
      </c>
      <c r="W27" s="53">
        <v>22269.62</v>
      </c>
      <c r="X27" s="20">
        <v>23149.47</v>
      </c>
      <c r="Y27" s="21">
        <v>24636.799999999999</v>
      </c>
      <c r="Z27" s="21">
        <v>25325.91</v>
      </c>
      <c r="AA27" s="21">
        <v>26558</v>
      </c>
      <c r="AB27" s="22">
        <v>28160</v>
      </c>
      <c r="AC27" s="229">
        <v>25476</v>
      </c>
      <c r="AD27" s="230">
        <v>27976</v>
      </c>
      <c r="AE27" s="230">
        <v>29976</v>
      </c>
      <c r="AF27" s="230">
        <v>31976</v>
      </c>
      <c r="AG27" s="231">
        <v>33976</v>
      </c>
      <c r="AH27" s="20">
        <v>28476.69</v>
      </c>
      <c r="AI27" s="21">
        <v>30789.42</v>
      </c>
      <c r="AJ27" s="21">
        <v>31582.78</v>
      </c>
      <c r="AK27" s="21">
        <v>32780.14</v>
      </c>
      <c r="AL27" s="21">
        <v>33768</v>
      </c>
      <c r="AM27" s="21">
        <v>32176.75</v>
      </c>
      <c r="AN27" s="22">
        <v>34172.22</v>
      </c>
      <c r="AO27" s="20">
        <v>30949.57</v>
      </c>
      <c r="AP27" s="21">
        <v>33470.58</v>
      </c>
      <c r="AQ27" s="21">
        <v>34335.15</v>
      </c>
      <c r="AR27" s="21">
        <v>35640.33</v>
      </c>
      <c r="AS27" s="21">
        <v>36640.33</v>
      </c>
      <c r="AT27" s="22">
        <v>35126.68</v>
      </c>
      <c r="AU27" s="20">
        <v>30497.03</v>
      </c>
      <c r="AV27" s="21">
        <v>36126.68</v>
      </c>
      <c r="AW27" s="21">
        <v>40365.550000000003</v>
      </c>
      <c r="AX27" s="21">
        <v>44530.17</v>
      </c>
      <c r="AY27" s="21">
        <v>47694.8</v>
      </c>
      <c r="AZ27" s="21">
        <v>49141</v>
      </c>
      <c r="BA27" s="21">
        <v>52438.09</v>
      </c>
      <c r="BB27" s="21">
        <v>56280.37</v>
      </c>
      <c r="BC27" s="22">
        <v>61733.94</v>
      </c>
      <c r="BD27" s="20">
        <v>39341.800000000003</v>
      </c>
      <c r="BE27" s="21">
        <v>44089.440000000002</v>
      </c>
      <c r="BF27" s="21">
        <v>46142.02</v>
      </c>
      <c r="BG27" s="21">
        <v>50556.61</v>
      </c>
      <c r="BH27" s="21">
        <v>51029.45</v>
      </c>
      <c r="BI27" s="22">
        <v>52466.82</v>
      </c>
      <c r="BJ27" s="50">
        <v>73185.81</v>
      </c>
      <c r="BK27" s="22">
        <v>65508.800000000003</v>
      </c>
    </row>
    <row r="28" spans="1:63" x14ac:dyDescent="0.25">
      <c r="A28" s="19">
        <v>25</v>
      </c>
      <c r="B28" s="20">
        <v>20087.98</v>
      </c>
      <c r="C28" s="21">
        <v>21203.47</v>
      </c>
      <c r="D28" s="21">
        <v>23285.77</v>
      </c>
      <c r="E28" s="22">
        <v>24285.77</v>
      </c>
      <c r="F28" s="20">
        <v>22685.11</v>
      </c>
      <c r="G28" s="21">
        <v>23515.56</v>
      </c>
      <c r="H28" s="21">
        <v>25400.799999999999</v>
      </c>
      <c r="I28" s="22">
        <v>26900.799999999999</v>
      </c>
      <c r="J28" s="38">
        <v>22959.34</v>
      </c>
      <c r="K28" s="32">
        <v>23600.799999999999</v>
      </c>
      <c r="L28" s="32">
        <v>25142.89</v>
      </c>
      <c r="M28" s="32">
        <v>26372.97</v>
      </c>
      <c r="N28" s="32">
        <v>27495.61</v>
      </c>
      <c r="O28" s="39">
        <v>28373.27</v>
      </c>
      <c r="P28" s="53">
        <v>17725.05</v>
      </c>
      <c r="Q28" s="53">
        <v>23740.23</v>
      </c>
      <c r="R28" s="53">
        <v>24079.23</v>
      </c>
      <c r="S28" s="53">
        <v>24565.8</v>
      </c>
      <c r="T28" s="53">
        <v>17730.740000000002</v>
      </c>
      <c r="U28" s="53">
        <v>24045.7</v>
      </c>
      <c r="V28" s="53">
        <v>19448.82</v>
      </c>
      <c r="W28" s="53">
        <v>22269.62</v>
      </c>
      <c r="X28" s="20">
        <v>23285.82</v>
      </c>
      <c r="Y28" s="21">
        <v>24797.94</v>
      </c>
      <c r="Z28" s="21">
        <v>25541.58</v>
      </c>
      <c r="AA28" s="21">
        <v>26781</v>
      </c>
      <c r="AB28" s="22">
        <v>28417</v>
      </c>
      <c r="AC28" s="229">
        <v>25745</v>
      </c>
      <c r="AD28" s="230">
        <v>28245</v>
      </c>
      <c r="AE28" s="230">
        <v>30245</v>
      </c>
      <c r="AF28" s="230">
        <v>32245</v>
      </c>
      <c r="AG28" s="231">
        <v>34245</v>
      </c>
      <c r="AH28" s="20">
        <v>28764.25</v>
      </c>
      <c r="AI28" s="21">
        <v>31069.54</v>
      </c>
      <c r="AJ28" s="21">
        <v>31887.69</v>
      </c>
      <c r="AK28" s="21">
        <v>33127.199999999997</v>
      </c>
      <c r="AL28" s="21">
        <v>34037</v>
      </c>
      <c r="AM28" s="21">
        <v>32474.23</v>
      </c>
      <c r="AN28" s="22">
        <v>34457.300000000003</v>
      </c>
      <c r="AO28" s="20">
        <v>31263.01</v>
      </c>
      <c r="AP28" s="21">
        <v>33775.919999999998</v>
      </c>
      <c r="AQ28" s="21">
        <v>34667.51</v>
      </c>
      <c r="AR28" s="21">
        <v>36018.620000000003</v>
      </c>
      <c r="AS28" s="21">
        <v>37018.620000000003</v>
      </c>
      <c r="AT28" s="22">
        <v>35448.949999999997</v>
      </c>
      <c r="AU28" s="20">
        <v>30747.41</v>
      </c>
      <c r="AV28" s="21">
        <v>36448.949999999997</v>
      </c>
      <c r="AW28" s="21">
        <v>40663.03</v>
      </c>
      <c r="AX28" s="21">
        <v>44951.59</v>
      </c>
      <c r="AY28" s="21">
        <v>48141.01</v>
      </c>
      <c r="AZ28" s="21">
        <v>49141</v>
      </c>
      <c r="BA28" s="21">
        <v>52438.09</v>
      </c>
      <c r="BB28" s="21">
        <v>56280.37</v>
      </c>
      <c r="BC28" s="22">
        <v>61733.94</v>
      </c>
      <c r="BD28" s="20">
        <v>39702.74</v>
      </c>
      <c r="BE28" s="21">
        <v>44422.61</v>
      </c>
      <c r="BF28" s="21">
        <v>46588.73</v>
      </c>
      <c r="BG28" s="21">
        <v>51029.599999999999</v>
      </c>
      <c r="BH28" s="21">
        <v>51029.45</v>
      </c>
      <c r="BI28" s="22">
        <v>52466.82</v>
      </c>
      <c r="BJ28" s="50">
        <v>73185.81</v>
      </c>
      <c r="BK28" s="22">
        <v>65508.800000000003</v>
      </c>
    </row>
    <row r="29" spans="1:63" x14ac:dyDescent="0.25">
      <c r="A29" s="19">
        <v>26</v>
      </c>
      <c r="B29" s="20">
        <v>20087.98</v>
      </c>
      <c r="C29" s="21">
        <v>21203.47</v>
      </c>
      <c r="D29" s="21">
        <v>23285.77</v>
      </c>
      <c r="E29" s="22">
        <v>24285.77</v>
      </c>
      <c r="F29" s="20">
        <v>22685.11</v>
      </c>
      <c r="G29" s="21">
        <v>23515.56</v>
      </c>
      <c r="H29" s="21">
        <v>25400.799999999999</v>
      </c>
      <c r="I29" s="22">
        <v>26900.799999999999</v>
      </c>
      <c r="J29" s="38">
        <v>22959.34</v>
      </c>
      <c r="K29" s="32">
        <v>23600.799999999999</v>
      </c>
      <c r="L29" s="32">
        <v>25142.89</v>
      </c>
      <c r="M29" s="32">
        <v>26372.97</v>
      </c>
      <c r="N29" s="32">
        <v>27495.61</v>
      </c>
      <c r="O29" s="39">
        <v>28373.27</v>
      </c>
      <c r="P29" s="53">
        <v>17725.05</v>
      </c>
      <c r="Q29" s="53">
        <v>23740.23</v>
      </c>
      <c r="R29" s="53">
        <v>24079.23</v>
      </c>
      <c r="S29" s="53">
        <v>24565.8</v>
      </c>
      <c r="T29" s="53">
        <v>17730.740000000002</v>
      </c>
      <c r="U29" s="53">
        <v>24045.7</v>
      </c>
      <c r="V29" s="53">
        <v>19448.82</v>
      </c>
      <c r="W29" s="53">
        <v>22269.62</v>
      </c>
      <c r="X29" s="20">
        <v>23285.82</v>
      </c>
      <c r="Y29" s="21">
        <v>24797.94</v>
      </c>
      <c r="Z29" s="21">
        <v>25541.58</v>
      </c>
      <c r="AA29" s="21">
        <v>26860</v>
      </c>
      <c r="AB29" s="22">
        <v>28560</v>
      </c>
      <c r="AC29" s="229">
        <v>26015</v>
      </c>
      <c r="AD29" s="230">
        <v>28515</v>
      </c>
      <c r="AE29" s="230">
        <v>30515</v>
      </c>
      <c r="AF29" s="230">
        <v>32515</v>
      </c>
      <c r="AG29" s="231">
        <v>34515</v>
      </c>
      <c r="AH29" s="20">
        <v>28764.25</v>
      </c>
      <c r="AI29" s="21">
        <v>31069.54</v>
      </c>
      <c r="AJ29" s="21">
        <v>31887.69</v>
      </c>
      <c r="AK29" s="21">
        <v>33127.199999999997</v>
      </c>
      <c r="AL29" s="21">
        <v>34307</v>
      </c>
      <c r="AM29" s="21">
        <v>32474.23</v>
      </c>
      <c r="AN29" s="22">
        <v>34457.300000000003</v>
      </c>
      <c r="AO29" s="20">
        <v>31263.01</v>
      </c>
      <c r="AP29" s="21">
        <v>33775.919999999998</v>
      </c>
      <c r="AQ29" s="21">
        <v>34667.51</v>
      </c>
      <c r="AR29" s="21">
        <v>36018.620000000003</v>
      </c>
      <c r="AS29" s="21">
        <v>37018.620000000003</v>
      </c>
      <c r="AT29" s="22">
        <v>35449.949999999997</v>
      </c>
      <c r="AU29" s="20">
        <v>30747.41</v>
      </c>
      <c r="AV29" s="21">
        <v>36448.949999999997</v>
      </c>
      <c r="AW29" s="21">
        <v>40663.03</v>
      </c>
      <c r="AX29" s="21">
        <v>44951.59</v>
      </c>
      <c r="AY29" s="21">
        <v>48141.01</v>
      </c>
      <c r="AZ29" s="21">
        <v>49141</v>
      </c>
      <c r="BA29" s="21">
        <v>52438.09</v>
      </c>
      <c r="BB29" s="21">
        <v>57767.74</v>
      </c>
      <c r="BC29" s="22">
        <v>63345.25</v>
      </c>
      <c r="BD29" s="20">
        <v>39702.74</v>
      </c>
      <c r="BE29" s="21">
        <v>44422.61</v>
      </c>
      <c r="BF29" s="21">
        <v>46588.73</v>
      </c>
      <c r="BG29" s="21">
        <v>51029.599999999999</v>
      </c>
      <c r="BH29" s="21">
        <v>51029.45</v>
      </c>
      <c r="BI29" s="22">
        <v>52466.82</v>
      </c>
      <c r="BJ29" s="50">
        <v>73185.81</v>
      </c>
      <c r="BK29" s="22">
        <v>65508.800000000003</v>
      </c>
    </row>
    <row r="30" spans="1:63" x14ac:dyDescent="0.25">
      <c r="A30" s="19">
        <v>27</v>
      </c>
      <c r="B30" s="20">
        <v>20087.98</v>
      </c>
      <c r="C30" s="21">
        <v>21203.47</v>
      </c>
      <c r="D30" s="21">
        <v>23285.77</v>
      </c>
      <c r="E30" s="22">
        <v>24285.77</v>
      </c>
      <c r="F30" s="20">
        <v>23308.720000000001</v>
      </c>
      <c r="G30" s="21">
        <v>24050.69</v>
      </c>
      <c r="H30" s="21">
        <v>26024.41</v>
      </c>
      <c r="I30" s="22">
        <v>27524.41</v>
      </c>
      <c r="J30" s="38">
        <v>23582.95</v>
      </c>
      <c r="K30" s="32">
        <v>24224.41</v>
      </c>
      <c r="L30" s="32">
        <v>25499.23</v>
      </c>
      <c r="M30" s="32">
        <v>26729.31</v>
      </c>
      <c r="N30" s="32">
        <v>28119.22</v>
      </c>
      <c r="O30" s="39">
        <v>28996.880000000001</v>
      </c>
      <c r="P30" s="53">
        <v>17725.05</v>
      </c>
      <c r="Q30" s="53">
        <v>23740.23</v>
      </c>
      <c r="R30" s="53">
        <v>24079.23</v>
      </c>
      <c r="S30" s="53">
        <v>24565.8</v>
      </c>
      <c r="T30" s="53">
        <v>17730.740000000002</v>
      </c>
      <c r="U30" s="53">
        <v>24045.7</v>
      </c>
      <c r="V30" s="53">
        <v>19448.82</v>
      </c>
      <c r="W30" s="53">
        <v>22269.62</v>
      </c>
      <c r="X30" s="20">
        <v>23285.82</v>
      </c>
      <c r="Y30" s="21">
        <v>24797.94</v>
      </c>
      <c r="Z30" s="21">
        <v>25541.58</v>
      </c>
      <c r="AA30" s="21">
        <v>27059</v>
      </c>
      <c r="AB30" s="22">
        <v>28759</v>
      </c>
      <c r="AC30" s="229">
        <v>26285</v>
      </c>
      <c r="AD30" s="230">
        <v>28785</v>
      </c>
      <c r="AE30" s="230">
        <v>30785</v>
      </c>
      <c r="AF30" s="230">
        <v>32785</v>
      </c>
      <c r="AG30" s="231">
        <v>34785</v>
      </c>
      <c r="AH30" s="20">
        <v>28764.25</v>
      </c>
      <c r="AI30" s="21">
        <v>31069.54</v>
      </c>
      <c r="AJ30" s="21">
        <v>31887.69</v>
      </c>
      <c r="AK30" s="21">
        <v>33625.599999999999</v>
      </c>
      <c r="AL30" s="21">
        <v>34577</v>
      </c>
      <c r="AM30" s="21">
        <v>32474.23</v>
      </c>
      <c r="AN30" s="22">
        <v>34457.300000000003</v>
      </c>
      <c r="AO30" s="20">
        <v>31263.01</v>
      </c>
      <c r="AP30" s="21">
        <v>33775.919999999998</v>
      </c>
      <c r="AQ30" s="21">
        <v>34667.51</v>
      </c>
      <c r="AR30" s="21">
        <v>36018.620000000003</v>
      </c>
      <c r="AS30" s="21">
        <v>37018.620000000003</v>
      </c>
      <c r="AT30" s="22">
        <v>35450.949999999997</v>
      </c>
      <c r="AU30" s="20">
        <v>30747.41</v>
      </c>
      <c r="AV30" s="21">
        <v>36448.949999999997</v>
      </c>
      <c r="AW30" s="21">
        <v>40663.03</v>
      </c>
      <c r="AX30" s="21">
        <v>44951.59</v>
      </c>
      <c r="AY30" s="21">
        <v>48141.01</v>
      </c>
      <c r="AZ30" s="21">
        <v>49141</v>
      </c>
      <c r="BA30" s="21">
        <v>52438.09</v>
      </c>
      <c r="BB30" s="21">
        <v>57767.74</v>
      </c>
      <c r="BC30" s="22">
        <v>63345.25</v>
      </c>
      <c r="BD30" s="20">
        <v>39702.74</v>
      </c>
      <c r="BE30" s="21">
        <v>44422.61</v>
      </c>
      <c r="BF30" s="21">
        <v>46588.73</v>
      </c>
      <c r="BG30" s="21">
        <v>51029.599999999999</v>
      </c>
      <c r="BH30" s="21">
        <v>51029.45</v>
      </c>
      <c r="BI30" s="22">
        <v>52466.82</v>
      </c>
      <c r="BJ30" s="50">
        <v>73185.81</v>
      </c>
      <c r="BK30" s="22">
        <v>65508.800000000003</v>
      </c>
    </row>
    <row r="31" spans="1:63" x14ac:dyDescent="0.25">
      <c r="A31" s="27">
        <v>28</v>
      </c>
      <c r="B31" s="20">
        <v>20087.98</v>
      </c>
      <c r="C31" s="21">
        <v>21203.47</v>
      </c>
      <c r="D31" s="21">
        <v>23285.77</v>
      </c>
      <c r="E31" s="22">
        <v>24285.77</v>
      </c>
      <c r="F31" s="20">
        <v>23308.720000000001</v>
      </c>
      <c r="G31" s="21">
        <v>24050.69</v>
      </c>
      <c r="H31" s="21">
        <v>26024.41</v>
      </c>
      <c r="I31" s="22">
        <v>27524.41</v>
      </c>
      <c r="J31" s="38">
        <v>23582.95</v>
      </c>
      <c r="K31" s="32">
        <v>24224.41</v>
      </c>
      <c r="L31" s="32">
        <v>25499.23</v>
      </c>
      <c r="M31" s="32">
        <v>26729.31</v>
      </c>
      <c r="N31" s="32">
        <v>28119.22</v>
      </c>
      <c r="O31" s="39">
        <v>28996.880000000001</v>
      </c>
      <c r="P31" s="53">
        <v>17725.05</v>
      </c>
      <c r="Q31" s="53">
        <v>23740.23</v>
      </c>
      <c r="R31" s="53">
        <v>24079.23</v>
      </c>
      <c r="S31" s="53">
        <v>24565.8</v>
      </c>
      <c r="T31" s="53">
        <v>17730.740000000002</v>
      </c>
      <c r="U31" s="53">
        <v>24045.7</v>
      </c>
      <c r="V31" s="53">
        <v>19448.82</v>
      </c>
      <c r="W31" s="53">
        <v>22269.62</v>
      </c>
      <c r="X31" s="20">
        <v>23285.82</v>
      </c>
      <c r="Y31" s="21">
        <v>24797.94</v>
      </c>
      <c r="Z31" s="21">
        <v>25541.58</v>
      </c>
      <c r="AA31" s="21">
        <v>27259</v>
      </c>
      <c r="AB31" s="22">
        <v>28959</v>
      </c>
      <c r="AC31" s="229">
        <v>26554</v>
      </c>
      <c r="AD31" s="230">
        <v>29054</v>
      </c>
      <c r="AE31" s="230">
        <v>31054</v>
      </c>
      <c r="AF31" s="230">
        <v>33054</v>
      </c>
      <c r="AG31" s="231">
        <v>35054</v>
      </c>
      <c r="AH31" s="20">
        <v>28764.25</v>
      </c>
      <c r="AI31" s="21">
        <v>31069.54</v>
      </c>
      <c r="AJ31" s="21">
        <v>31887.69</v>
      </c>
      <c r="AK31" s="21">
        <v>33625.599999999999</v>
      </c>
      <c r="AL31" s="21">
        <v>34846</v>
      </c>
      <c r="AM31" s="21">
        <v>32474.23</v>
      </c>
      <c r="AN31" s="22">
        <v>34457.300000000003</v>
      </c>
      <c r="AO31" s="20">
        <v>31263.01</v>
      </c>
      <c r="AP31" s="21">
        <v>33775.919999999998</v>
      </c>
      <c r="AQ31" s="21">
        <v>34667.51</v>
      </c>
      <c r="AR31" s="21">
        <v>36018.620000000003</v>
      </c>
      <c r="AS31" s="21">
        <v>37018.620000000003</v>
      </c>
      <c r="AT31" s="22">
        <v>35451.949999999997</v>
      </c>
      <c r="AU31" s="20">
        <v>30747.41</v>
      </c>
      <c r="AV31" s="21">
        <v>36448.949999999997</v>
      </c>
      <c r="AW31" s="21">
        <v>40663.03</v>
      </c>
      <c r="AX31" s="21">
        <v>44951.59</v>
      </c>
      <c r="AY31" s="29">
        <v>48141.01</v>
      </c>
      <c r="AZ31" s="21">
        <v>49141</v>
      </c>
      <c r="BA31" s="21">
        <v>52438.09</v>
      </c>
      <c r="BB31" s="21">
        <v>59255.11</v>
      </c>
      <c r="BC31" s="22">
        <v>64956.56</v>
      </c>
      <c r="BD31" s="28">
        <v>39702.74</v>
      </c>
      <c r="BE31" s="29">
        <v>44422.61</v>
      </c>
      <c r="BF31" s="29">
        <v>46588.73</v>
      </c>
      <c r="BG31" s="29">
        <v>51029.599999999999</v>
      </c>
      <c r="BH31" s="29">
        <v>51029.45</v>
      </c>
      <c r="BI31" s="30">
        <v>52466.82</v>
      </c>
      <c r="BJ31" s="50">
        <v>73185.81</v>
      </c>
      <c r="BK31" s="22">
        <v>65508.800000000003</v>
      </c>
    </row>
    <row r="32" spans="1:63" x14ac:dyDescent="0.25">
      <c r="A32" s="34">
        <v>29</v>
      </c>
      <c r="B32" s="20">
        <v>20087.98</v>
      </c>
      <c r="C32" s="21">
        <v>21203.47</v>
      </c>
      <c r="D32" s="21">
        <v>23285.77</v>
      </c>
      <c r="E32" s="22">
        <v>24285.77</v>
      </c>
      <c r="F32" s="20">
        <v>23932.33</v>
      </c>
      <c r="G32" s="21">
        <v>24585.82</v>
      </c>
      <c r="H32" s="21">
        <v>26648.02</v>
      </c>
      <c r="I32" s="22">
        <v>27921.360000000001</v>
      </c>
      <c r="J32" s="38">
        <v>24206.560000000001</v>
      </c>
      <c r="K32" s="32">
        <v>24848.02</v>
      </c>
      <c r="L32" s="32">
        <v>25855.57</v>
      </c>
      <c r="M32" s="32">
        <v>27085.65</v>
      </c>
      <c r="N32" s="32">
        <v>28742.83</v>
      </c>
      <c r="O32" s="39">
        <v>29620.49</v>
      </c>
      <c r="P32" s="53">
        <v>17725.05</v>
      </c>
      <c r="Q32" s="53">
        <v>23740.23</v>
      </c>
      <c r="R32" s="53">
        <v>24079.23</v>
      </c>
      <c r="S32" s="53">
        <v>24565.8</v>
      </c>
      <c r="T32" s="53">
        <v>17730.740000000002</v>
      </c>
      <c r="U32" s="53">
        <v>24045.7</v>
      </c>
      <c r="V32" s="53">
        <v>19448.82</v>
      </c>
      <c r="W32" s="53">
        <v>22269.62</v>
      </c>
      <c r="X32" s="20">
        <v>23285.82</v>
      </c>
      <c r="Y32" s="21">
        <v>24797.94</v>
      </c>
      <c r="Z32" s="21">
        <v>25541.58</v>
      </c>
      <c r="AA32" s="21">
        <v>27459</v>
      </c>
      <c r="AB32" s="22">
        <v>29159</v>
      </c>
      <c r="AC32" s="229">
        <v>26824</v>
      </c>
      <c r="AD32" s="230">
        <v>29324</v>
      </c>
      <c r="AE32" s="230">
        <v>31324</v>
      </c>
      <c r="AF32" s="230">
        <v>33324</v>
      </c>
      <c r="AG32" s="231">
        <v>35324</v>
      </c>
      <c r="AH32" s="20">
        <v>28764.25</v>
      </c>
      <c r="AI32" s="21">
        <v>31069.54</v>
      </c>
      <c r="AJ32" s="21">
        <v>31887.69</v>
      </c>
      <c r="AK32" s="21">
        <v>34124</v>
      </c>
      <c r="AL32" s="21">
        <v>35116</v>
      </c>
      <c r="AM32" s="21">
        <v>32474.23</v>
      </c>
      <c r="AN32" s="22">
        <v>34457.300000000003</v>
      </c>
      <c r="AO32" s="20">
        <v>31263.01</v>
      </c>
      <c r="AP32" s="21">
        <v>33775.919999999998</v>
      </c>
      <c r="AQ32" s="21">
        <v>34667.51</v>
      </c>
      <c r="AR32" s="21">
        <v>36018.620000000003</v>
      </c>
      <c r="AS32" s="21">
        <v>37018.620000000003</v>
      </c>
      <c r="AT32" s="22">
        <v>35452.949999999997</v>
      </c>
      <c r="AU32" s="20">
        <v>30747.41</v>
      </c>
      <c r="AV32" s="21">
        <v>36448.949999999997</v>
      </c>
      <c r="AW32" s="21">
        <v>40663.03</v>
      </c>
      <c r="AX32" s="21">
        <v>44951.59</v>
      </c>
      <c r="AY32" s="21">
        <v>48141.01</v>
      </c>
      <c r="AZ32" s="21">
        <v>49141</v>
      </c>
      <c r="BA32" s="21">
        <v>52438.09</v>
      </c>
      <c r="BB32" s="21">
        <v>59255.11</v>
      </c>
      <c r="BC32" s="22">
        <v>64956.56</v>
      </c>
      <c r="BD32" s="36">
        <v>39702.74</v>
      </c>
      <c r="BE32" s="21">
        <v>44422.61</v>
      </c>
      <c r="BF32" s="21">
        <v>46588.73</v>
      </c>
      <c r="BG32" s="21">
        <v>51029.599999999999</v>
      </c>
      <c r="BH32" s="21">
        <v>51029.45</v>
      </c>
      <c r="BI32" s="22">
        <v>52466.82</v>
      </c>
      <c r="BJ32" s="50">
        <v>73185.81</v>
      </c>
      <c r="BK32" s="22">
        <v>65508.800000000003</v>
      </c>
    </row>
    <row r="33" spans="1:63" x14ac:dyDescent="0.25">
      <c r="A33" s="34">
        <v>30</v>
      </c>
      <c r="B33" s="20">
        <v>20087.98</v>
      </c>
      <c r="C33" s="21">
        <v>21203.47</v>
      </c>
      <c r="D33" s="21">
        <v>23285.77</v>
      </c>
      <c r="E33" s="22">
        <v>24285.77</v>
      </c>
      <c r="F33" s="20">
        <v>23932.33</v>
      </c>
      <c r="G33" s="21">
        <v>24585.82</v>
      </c>
      <c r="H33" s="21">
        <v>26648.02</v>
      </c>
      <c r="I33" s="22">
        <v>27921.360000000001</v>
      </c>
      <c r="J33" s="38">
        <v>24206.560000000001</v>
      </c>
      <c r="K33" s="32">
        <v>24848.02</v>
      </c>
      <c r="L33" s="32">
        <v>25855.57</v>
      </c>
      <c r="M33" s="32">
        <v>27085.65</v>
      </c>
      <c r="N33" s="32">
        <v>28742.83</v>
      </c>
      <c r="O33" s="39">
        <v>29620.49</v>
      </c>
      <c r="P33" s="53">
        <v>17725.05</v>
      </c>
      <c r="Q33" s="53">
        <v>23740.23</v>
      </c>
      <c r="R33" s="53">
        <v>24079.23</v>
      </c>
      <c r="S33" s="53">
        <v>24565.8</v>
      </c>
      <c r="T33" s="53">
        <v>17730.740000000002</v>
      </c>
      <c r="U33" s="53">
        <v>24045.7</v>
      </c>
      <c r="V33" s="53">
        <v>19448.82</v>
      </c>
      <c r="W33" s="53">
        <v>22269.62</v>
      </c>
      <c r="X33" s="20">
        <v>23285.82</v>
      </c>
      <c r="Y33" s="21">
        <v>24797.94</v>
      </c>
      <c r="Z33" s="21">
        <v>25541.58</v>
      </c>
      <c r="AA33" s="21">
        <v>27459</v>
      </c>
      <c r="AB33" s="22">
        <v>29159</v>
      </c>
      <c r="AC33" s="20">
        <f>AC32</f>
        <v>26824</v>
      </c>
      <c r="AD33" s="21">
        <f t="shared" ref="AD33:AG34" si="1">AD32</f>
        <v>29324</v>
      </c>
      <c r="AE33" s="21">
        <f t="shared" si="1"/>
        <v>31324</v>
      </c>
      <c r="AF33" s="21">
        <f t="shared" si="1"/>
        <v>33324</v>
      </c>
      <c r="AG33" s="22">
        <f t="shared" si="1"/>
        <v>35324</v>
      </c>
      <c r="AH33" s="20">
        <v>28764.25</v>
      </c>
      <c r="AI33" s="21">
        <v>31069.54</v>
      </c>
      <c r="AJ33" s="21">
        <v>31887.69</v>
      </c>
      <c r="AK33" s="21">
        <v>34124</v>
      </c>
      <c r="AL33" s="21">
        <v>35116</v>
      </c>
      <c r="AM33" s="21">
        <v>32474.23</v>
      </c>
      <c r="AN33" s="22">
        <v>34457.300000000003</v>
      </c>
      <c r="AO33" s="20">
        <v>31263.01</v>
      </c>
      <c r="AP33" s="21">
        <v>33775.919999999998</v>
      </c>
      <c r="AQ33" s="21">
        <v>34667.51</v>
      </c>
      <c r="AR33" s="21">
        <v>36018.620000000003</v>
      </c>
      <c r="AS33" s="21">
        <v>37018.620000000003</v>
      </c>
      <c r="AT33" s="22">
        <v>35452.949999999997</v>
      </c>
      <c r="AU33" s="20">
        <v>30747.41</v>
      </c>
      <c r="AV33" s="21">
        <v>36448.949999999997</v>
      </c>
      <c r="AW33" s="21">
        <v>40663.03</v>
      </c>
      <c r="AX33" s="21">
        <v>44951.59</v>
      </c>
      <c r="AY33" s="21">
        <v>48141.01</v>
      </c>
      <c r="AZ33" s="21">
        <v>49141</v>
      </c>
      <c r="BA33" s="21">
        <v>52438.09</v>
      </c>
      <c r="BB33" s="21">
        <v>59255.11</v>
      </c>
      <c r="BC33" s="22">
        <v>64956.56</v>
      </c>
      <c r="BD33" s="36">
        <v>39702.74</v>
      </c>
      <c r="BE33" s="21">
        <v>44422.61</v>
      </c>
      <c r="BF33" s="21">
        <v>46588.73</v>
      </c>
      <c r="BG33" s="21">
        <v>51029.599999999999</v>
      </c>
      <c r="BH33" s="21">
        <v>51029.45</v>
      </c>
      <c r="BI33" s="22">
        <v>52466.82</v>
      </c>
      <c r="BJ33" s="50">
        <v>73185.81</v>
      </c>
      <c r="BK33" s="22">
        <v>65508.800000000003</v>
      </c>
    </row>
    <row r="34" spans="1:63" ht="15.75" thickBot="1" x14ac:dyDescent="0.3">
      <c r="A34" s="35">
        <v>31</v>
      </c>
      <c r="B34" s="23">
        <v>20087.98</v>
      </c>
      <c r="C34" s="24">
        <v>21203.47</v>
      </c>
      <c r="D34" s="24">
        <v>23285.77</v>
      </c>
      <c r="E34" s="25">
        <v>24285.77</v>
      </c>
      <c r="F34" s="23">
        <v>23932.33</v>
      </c>
      <c r="G34" s="24">
        <v>24585.82</v>
      </c>
      <c r="H34" s="24">
        <v>26648.02</v>
      </c>
      <c r="I34" s="25">
        <v>27921.360000000001</v>
      </c>
      <c r="J34" s="40">
        <v>24206.560000000001</v>
      </c>
      <c r="K34" s="33">
        <v>24848.02</v>
      </c>
      <c r="L34" s="33">
        <v>26211.91</v>
      </c>
      <c r="M34" s="33">
        <v>27441.99</v>
      </c>
      <c r="N34" s="33">
        <v>29366.44</v>
      </c>
      <c r="O34" s="41">
        <v>30244.1</v>
      </c>
      <c r="P34" s="55">
        <v>17725.05</v>
      </c>
      <c r="Q34" s="54">
        <v>23740.23</v>
      </c>
      <c r="R34" s="54">
        <v>24079.23</v>
      </c>
      <c r="S34" s="54">
        <v>24565.8</v>
      </c>
      <c r="T34" s="54">
        <v>17730.740000000002</v>
      </c>
      <c r="U34" s="54">
        <v>24045.7</v>
      </c>
      <c r="V34" s="54">
        <v>19448.82</v>
      </c>
      <c r="W34" s="56">
        <v>22269.62</v>
      </c>
      <c r="X34" s="23">
        <v>23285.82</v>
      </c>
      <c r="Y34" s="24">
        <v>24797.94</v>
      </c>
      <c r="Z34" s="24">
        <v>25541.58</v>
      </c>
      <c r="AA34" s="24">
        <v>27459</v>
      </c>
      <c r="AB34" s="25">
        <v>29159</v>
      </c>
      <c r="AC34" s="23">
        <f>AC33</f>
        <v>26824</v>
      </c>
      <c r="AD34" s="24">
        <f t="shared" si="1"/>
        <v>29324</v>
      </c>
      <c r="AE34" s="24">
        <f t="shared" si="1"/>
        <v>31324</v>
      </c>
      <c r="AF34" s="24">
        <f t="shared" si="1"/>
        <v>33324</v>
      </c>
      <c r="AG34" s="25">
        <f t="shared" si="1"/>
        <v>35324</v>
      </c>
      <c r="AH34" s="23">
        <v>28764.25</v>
      </c>
      <c r="AI34" s="24">
        <v>31069.54</v>
      </c>
      <c r="AJ34" s="24">
        <v>31887.69</v>
      </c>
      <c r="AK34" s="24">
        <v>34124</v>
      </c>
      <c r="AL34" s="24">
        <v>35116</v>
      </c>
      <c r="AM34" s="24">
        <v>32474.23</v>
      </c>
      <c r="AN34" s="25">
        <v>34457.300000000003</v>
      </c>
      <c r="AO34" s="23">
        <v>31263.01</v>
      </c>
      <c r="AP34" s="24">
        <v>33775.919999999998</v>
      </c>
      <c r="AQ34" s="24">
        <v>34667.51</v>
      </c>
      <c r="AR34" s="24">
        <v>36018.620000000003</v>
      </c>
      <c r="AS34" s="24">
        <v>37018.620000000003</v>
      </c>
      <c r="AT34" s="25">
        <v>35452.949999999997</v>
      </c>
      <c r="AU34" s="23">
        <v>30747.41</v>
      </c>
      <c r="AV34" s="24">
        <v>36448.949999999997</v>
      </c>
      <c r="AW34" s="24">
        <v>40663.03</v>
      </c>
      <c r="AX34" s="24">
        <v>44951.59</v>
      </c>
      <c r="AY34" s="24">
        <v>48141.01</v>
      </c>
      <c r="AZ34" s="24">
        <v>49141</v>
      </c>
      <c r="BA34" s="24">
        <v>52438.09</v>
      </c>
      <c r="BB34" s="24">
        <v>59255.11</v>
      </c>
      <c r="BC34" s="25">
        <v>64956.56</v>
      </c>
      <c r="BD34" s="37">
        <v>39702.74</v>
      </c>
      <c r="BE34" s="24">
        <v>44422.61</v>
      </c>
      <c r="BF34" s="24">
        <v>46588.73</v>
      </c>
      <c r="BG34" s="24">
        <v>51029.599999999999</v>
      </c>
      <c r="BH34" s="24">
        <v>51029.45</v>
      </c>
      <c r="BI34" s="25">
        <v>52466.82</v>
      </c>
      <c r="BJ34" s="51">
        <v>73185.81</v>
      </c>
      <c r="BK34" s="25">
        <v>65508.800000000003</v>
      </c>
    </row>
    <row r="35" spans="1:63" x14ac:dyDescent="0.25">
      <c r="A35" s="65">
        <v>0</v>
      </c>
      <c r="B35" s="5" t="str">
        <f>B2</f>
        <v>HAU1</v>
      </c>
      <c r="C35" s="5" t="str">
        <f t="shared" ref="C35:BF35" si="2">C2</f>
        <v>HAU2</v>
      </c>
      <c r="D35" s="5" t="str">
        <f t="shared" si="2"/>
        <v>HAU3</v>
      </c>
      <c r="E35" s="5" t="str">
        <f t="shared" si="2"/>
        <v>HAU4</v>
      </c>
      <c r="F35" s="5" t="str">
        <f t="shared" si="2"/>
        <v>BASP1</v>
      </c>
      <c r="G35" s="5" t="str">
        <f t="shared" si="2"/>
        <v>BASP2</v>
      </c>
      <c r="H35" s="5" t="str">
        <f t="shared" si="2"/>
        <v>BASP3</v>
      </c>
      <c r="I35" s="5" t="str">
        <f t="shared" si="2"/>
        <v>BASP4</v>
      </c>
      <c r="J35" s="5" t="str">
        <f t="shared" si="2"/>
        <v>CSV1</v>
      </c>
      <c r="K35" s="5" t="str">
        <f t="shared" si="2"/>
        <v>CSV2</v>
      </c>
      <c r="L35" s="5" t="str">
        <f t="shared" si="2"/>
        <v>CSV3</v>
      </c>
      <c r="M35" s="5" t="str">
        <f t="shared" si="2"/>
        <v>CSV4</v>
      </c>
      <c r="N35" s="5" t="str">
        <f t="shared" si="2"/>
        <v>CSV5</v>
      </c>
      <c r="O35" s="5" t="str">
        <f t="shared" si="2"/>
        <v>CSV6</v>
      </c>
      <c r="P35" s="5" t="str">
        <f t="shared" si="2"/>
        <v>BAC1</v>
      </c>
      <c r="Q35" s="5" t="str">
        <f t="shared" si="2"/>
        <v>BAC2</v>
      </c>
      <c r="R35" s="5" t="str">
        <f t="shared" si="2"/>
        <v>BAC3</v>
      </c>
      <c r="S35" s="5" t="str">
        <f t="shared" si="2"/>
        <v>BAC4</v>
      </c>
      <c r="T35" s="5" t="str">
        <f t="shared" si="2"/>
        <v>BAC5</v>
      </c>
      <c r="U35" s="5" t="str">
        <f t="shared" si="2"/>
        <v>BAC6</v>
      </c>
      <c r="V35" s="5" t="str">
        <f t="shared" si="2"/>
        <v>BAC7</v>
      </c>
      <c r="W35" s="5" t="str">
        <f t="shared" si="2"/>
        <v>BAC8</v>
      </c>
      <c r="X35" s="5" t="str">
        <f t="shared" si="2"/>
        <v>B1</v>
      </c>
      <c r="Y35" s="5" t="str">
        <f t="shared" si="2"/>
        <v>B2</v>
      </c>
      <c r="Z35" s="5" t="str">
        <f t="shared" si="2"/>
        <v>B3</v>
      </c>
      <c r="AA35" s="5" t="str">
        <f t="shared" si="2"/>
        <v>B4</v>
      </c>
      <c r="AB35" s="5" t="str">
        <f t="shared" si="2"/>
        <v>B5</v>
      </c>
      <c r="AC35" s="5" t="str">
        <f t="shared" si="2"/>
        <v> BSV1</v>
      </c>
      <c r="AD35" s="5" t="str">
        <f t="shared" si="2"/>
        <v>BSV2</v>
      </c>
      <c r="AE35" s="5" t="str">
        <f t="shared" si="2"/>
        <v>BSV3</v>
      </c>
      <c r="AF35" s="5" t="str">
        <f t="shared" si="2"/>
        <v>BSV4</v>
      </c>
      <c r="AG35" s="5" t="str">
        <f t="shared" si="2"/>
        <v>BSV5</v>
      </c>
      <c r="AH35" s="5" t="str">
        <f t="shared" si="2"/>
        <v>M1.1</v>
      </c>
      <c r="AI35" s="5" t="str">
        <f t="shared" si="2"/>
        <v>M2.1</v>
      </c>
      <c r="AJ35" s="5" t="str">
        <f t="shared" si="2"/>
        <v>M3.1</v>
      </c>
      <c r="AK35" s="5" t="str">
        <f t="shared" si="2"/>
        <v>M4.1</v>
      </c>
      <c r="AL35" s="5" t="str">
        <f t="shared" si="2"/>
        <v>M5.1</v>
      </c>
      <c r="AM35" s="5" t="str">
        <f t="shared" si="2"/>
        <v>M6</v>
      </c>
      <c r="AN35" s="5" t="str">
        <f t="shared" si="2"/>
        <v>M7</v>
      </c>
      <c r="AO35" s="5" t="str">
        <f t="shared" si="2"/>
        <v>M1.2</v>
      </c>
      <c r="AP35" s="5" t="str">
        <f t="shared" si="2"/>
        <v>M2.2</v>
      </c>
      <c r="AQ35" s="5" t="str">
        <f t="shared" si="2"/>
        <v>M3.2</v>
      </c>
      <c r="AR35" s="5" t="str">
        <f t="shared" si="2"/>
        <v>M4.2</v>
      </c>
      <c r="AS35" s="5" t="str">
        <f t="shared" si="2"/>
        <v>M5.2</v>
      </c>
      <c r="AT35" s="5" t="str">
        <f t="shared" si="2"/>
        <v>M7 bis</v>
      </c>
      <c r="AU35" s="5" t="str">
        <f t="shared" si="2"/>
        <v>O1</v>
      </c>
      <c r="AV35" s="5" t="str">
        <f t="shared" si="2"/>
        <v>O2</v>
      </c>
      <c r="AW35" s="5" t="str">
        <f t="shared" si="2"/>
        <v>O3</v>
      </c>
      <c r="AX35" s="5" t="str">
        <f t="shared" si="2"/>
        <v>O4</v>
      </c>
      <c r="AY35" s="5" t="str">
        <f t="shared" si="2"/>
        <v>O4bis</v>
      </c>
      <c r="AZ35" s="5" t="str">
        <f t="shared" si="2"/>
        <v>O5</v>
      </c>
      <c r="BA35" s="5" t="str">
        <f t="shared" si="2"/>
        <v>O6</v>
      </c>
      <c r="BB35" s="5" t="str">
        <f t="shared" si="2"/>
        <v>O7</v>
      </c>
      <c r="BC35" s="5" t="str">
        <f t="shared" si="2"/>
        <v>O8</v>
      </c>
      <c r="BD35" s="5" t="str">
        <f t="shared" si="2"/>
        <v>O2ir</v>
      </c>
      <c r="BE35" s="5" t="str">
        <f t="shared" si="2"/>
        <v>O3ir</v>
      </c>
      <c r="BF35" s="5" t="str">
        <f t="shared" si="2"/>
        <v>O4ir</v>
      </c>
    </row>
    <row r="36" spans="1:63" x14ac:dyDescent="0.25">
      <c r="A36" s="65">
        <v>0</v>
      </c>
      <c r="B36" s="5">
        <v>1</v>
      </c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31">
        <v>2</v>
      </c>
      <c r="K36" s="31">
        <v>2</v>
      </c>
      <c r="L36" s="31">
        <v>2</v>
      </c>
      <c r="M36" s="31">
        <v>2</v>
      </c>
      <c r="N36" s="31">
        <v>2</v>
      </c>
      <c r="O36" s="31">
        <v>2</v>
      </c>
      <c r="P36" s="31">
        <v>3</v>
      </c>
      <c r="Q36" s="31">
        <v>3</v>
      </c>
      <c r="R36" s="31">
        <v>3</v>
      </c>
      <c r="S36" s="31">
        <v>3</v>
      </c>
      <c r="T36" s="31">
        <v>3</v>
      </c>
      <c r="U36" s="31">
        <v>3</v>
      </c>
      <c r="V36" s="31">
        <v>3</v>
      </c>
      <c r="W36" s="31">
        <v>3</v>
      </c>
      <c r="X36" s="5">
        <v>2</v>
      </c>
      <c r="Y36" s="5">
        <v>2</v>
      </c>
      <c r="Z36" s="5">
        <v>2</v>
      </c>
      <c r="AA36" s="5">
        <v>2</v>
      </c>
      <c r="AB36" s="5">
        <v>2</v>
      </c>
      <c r="AC36" s="5">
        <v>3</v>
      </c>
      <c r="AD36" s="5">
        <v>3</v>
      </c>
      <c r="AE36" s="5">
        <v>3</v>
      </c>
      <c r="AF36" s="5">
        <v>3</v>
      </c>
      <c r="AG36" s="5">
        <v>3</v>
      </c>
      <c r="AH36" s="5">
        <v>3</v>
      </c>
      <c r="AI36" s="5">
        <v>3</v>
      </c>
      <c r="AJ36" s="5">
        <v>3</v>
      </c>
      <c r="AK36" s="5">
        <v>3</v>
      </c>
      <c r="AL36" s="5">
        <v>3</v>
      </c>
      <c r="AM36" s="5">
        <v>3</v>
      </c>
      <c r="AN36" s="5">
        <v>3</v>
      </c>
      <c r="AO36" s="5">
        <v>3</v>
      </c>
      <c r="AP36" s="5">
        <v>4</v>
      </c>
      <c r="AQ36" s="5">
        <v>4</v>
      </c>
      <c r="AR36" s="5">
        <v>4</v>
      </c>
      <c r="AS36" s="5">
        <v>4</v>
      </c>
      <c r="AT36" s="5">
        <v>4</v>
      </c>
      <c r="AU36" s="5">
        <v>4.4000000000000004</v>
      </c>
      <c r="AV36" s="5">
        <v>4.4000000000000004</v>
      </c>
      <c r="AW36" s="5">
        <v>4.8</v>
      </c>
      <c r="AX36" s="5">
        <v>4.9000000000000004</v>
      </c>
      <c r="AY36" s="5">
        <v>4</v>
      </c>
      <c r="AZ36" s="5">
        <v>4</v>
      </c>
      <c r="BA36" s="5">
        <v>4</v>
      </c>
      <c r="BB36" s="5">
        <v>4</v>
      </c>
      <c r="BC36" s="5">
        <v>4.4000000000000004</v>
      </c>
      <c r="BD36" s="5">
        <v>4.4000000000000004</v>
      </c>
      <c r="BE36" s="5">
        <v>4.4000000000000004</v>
      </c>
      <c r="BF36" s="5">
        <v>4.4000000000000004</v>
      </c>
    </row>
    <row r="37" spans="1:63" x14ac:dyDescent="0.25">
      <c r="B37" s="5">
        <f>ROUND(B36,0)</f>
        <v>1</v>
      </c>
      <c r="C37" s="5">
        <f t="shared" ref="C37:BF37" si="3">ROUND(C36,0)</f>
        <v>1</v>
      </c>
      <c r="D37" s="5">
        <f t="shared" si="3"/>
        <v>1</v>
      </c>
      <c r="E37" s="5">
        <f t="shared" si="3"/>
        <v>1</v>
      </c>
      <c r="F37" s="5">
        <f t="shared" si="3"/>
        <v>1</v>
      </c>
      <c r="G37" s="5">
        <f t="shared" si="3"/>
        <v>1</v>
      </c>
      <c r="H37" s="5">
        <f t="shared" si="3"/>
        <v>1</v>
      </c>
      <c r="I37" s="5">
        <f t="shared" si="3"/>
        <v>1</v>
      </c>
      <c r="J37" s="5">
        <f t="shared" si="3"/>
        <v>2</v>
      </c>
      <c r="K37" s="5">
        <f t="shared" si="3"/>
        <v>2</v>
      </c>
      <c r="L37" s="5">
        <f t="shared" si="3"/>
        <v>2</v>
      </c>
      <c r="M37" s="5">
        <f t="shared" si="3"/>
        <v>2</v>
      </c>
      <c r="N37" s="5">
        <f t="shared" si="3"/>
        <v>2</v>
      </c>
      <c r="O37" s="5">
        <f t="shared" si="3"/>
        <v>2</v>
      </c>
      <c r="P37" s="5">
        <v>3</v>
      </c>
      <c r="Q37" s="5">
        <v>3</v>
      </c>
      <c r="R37" s="5">
        <v>3</v>
      </c>
      <c r="S37" s="5">
        <v>3</v>
      </c>
      <c r="T37" s="5">
        <v>3</v>
      </c>
      <c r="U37" s="5">
        <v>3</v>
      </c>
      <c r="V37" s="5">
        <v>3</v>
      </c>
      <c r="W37" s="5">
        <v>3</v>
      </c>
      <c r="X37" s="5">
        <f t="shared" si="3"/>
        <v>2</v>
      </c>
      <c r="Y37" s="5">
        <f t="shared" si="3"/>
        <v>2</v>
      </c>
      <c r="Z37" s="5">
        <f t="shared" si="3"/>
        <v>2</v>
      </c>
      <c r="AA37" s="5">
        <f t="shared" si="3"/>
        <v>2</v>
      </c>
      <c r="AB37" s="5">
        <f t="shared" si="3"/>
        <v>2</v>
      </c>
      <c r="AC37" s="5">
        <f t="shared" si="3"/>
        <v>3</v>
      </c>
      <c r="AD37" s="5">
        <f t="shared" si="3"/>
        <v>3</v>
      </c>
      <c r="AE37" s="5">
        <f t="shared" si="3"/>
        <v>3</v>
      </c>
      <c r="AF37" s="5">
        <f t="shared" si="3"/>
        <v>3</v>
      </c>
      <c r="AG37" s="5">
        <f t="shared" si="3"/>
        <v>3</v>
      </c>
      <c r="AH37" s="5">
        <f t="shared" si="3"/>
        <v>3</v>
      </c>
      <c r="AI37" s="5">
        <f t="shared" si="3"/>
        <v>3</v>
      </c>
      <c r="AJ37" s="5">
        <f t="shared" si="3"/>
        <v>3</v>
      </c>
      <c r="AK37" s="5">
        <f t="shared" si="3"/>
        <v>3</v>
      </c>
      <c r="AL37" s="5">
        <f t="shared" si="3"/>
        <v>3</v>
      </c>
      <c r="AM37" s="5">
        <f t="shared" si="3"/>
        <v>3</v>
      </c>
      <c r="AN37" s="5">
        <f t="shared" si="3"/>
        <v>3</v>
      </c>
      <c r="AO37" s="5">
        <f t="shared" si="3"/>
        <v>3</v>
      </c>
      <c r="AP37" s="5">
        <f t="shared" si="3"/>
        <v>4</v>
      </c>
      <c r="AQ37" s="5">
        <f t="shared" si="3"/>
        <v>4</v>
      </c>
      <c r="AR37" s="5">
        <f t="shared" si="3"/>
        <v>4</v>
      </c>
      <c r="AS37" s="5">
        <f t="shared" si="3"/>
        <v>4</v>
      </c>
      <c r="AT37" s="5">
        <f t="shared" si="3"/>
        <v>4</v>
      </c>
      <c r="AU37" s="5">
        <f t="shared" si="3"/>
        <v>4</v>
      </c>
      <c r="AV37" s="5">
        <f t="shared" si="3"/>
        <v>4</v>
      </c>
      <c r="AW37" s="5">
        <f t="shared" si="3"/>
        <v>5</v>
      </c>
      <c r="AX37" s="5">
        <f t="shared" si="3"/>
        <v>5</v>
      </c>
      <c r="AY37" s="5">
        <f t="shared" si="3"/>
        <v>4</v>
      </c>
      <c r="AZ37" s="5">
        <f t="shared" si="3"/>
        <v>4</v>
      </c>
      <c r="BA37" s="5">
        <f t="shared" si="3"/>
        <v>4</v>
      </c>
      <c r="BB37" s="5">
        <f t="shared" si="3"/>
        <v>4</v>
      </c>
      <c r="BC37" s="5">
        <f t="shared" si="3"/>
        <v>4</v>
      </c>
      <c r="BD37" s="5">
        <f t="shared" si="3"/>
        <v>4</v>
      </c>
      <c r="BE37" s="5">
        <f t="shared" si="3"/>
        <v>4</v>
      </c>
      <c r="BF37" s="5">
        <f t="shared" si="3"/>
        <v>4</v>
      </c>
    </row>
    <row r="38" spans="1:63" x14ac:dyDescent="0.25">
      <c r="A38" t="s">
        <v>110</v>
      </c>
      <c r="X38" s="5">
        <v>2</v>
      </c>
      <c r="Y38" s="5">
        <v>2</v>
      </c>
      <c r="Z38" s="5">
        <v>2</v>
      </c>
      <c r="AA38" s="5">
        <v>2</v>
      </c>
      <c r="AB38" s="5">
        <v>2</v>
      </c>
    </row>
    <row r="39" spans="1:63" x14ac:dyDescent="0.25">
      <c r="A39" t="s">
        <v>109</v>
      </c>
      <c r="B39">
        <v>4</v>
      </c>
      <c r="C39">
        <v>4</v>
      </c>
      <c r="D39">
        <v>4</v>
      </c>
      <c r="E39">
        <v>4</v>
      </c>
      <c r="F39">
        <v>4</v>
      </c>
      <c r="G39">
        <v>4</v>
      </c>
      <c r="H39">
        <v>4</v>
      </c>
      <c r="I39">
        <v>4</v>
      </c>
      <c r="J39">
        <v>3</v>
      </c>
      <c r="K39">
        <v>3</v>
      </c>
      <c r="L39">
        <v>3</v>
      </c>
      <c r="M39">
        <v>3</v>
      </c>
      <c r="N39">
        <v>3</v>
      </c>
      <c r="O39">
        <v>3</v>
      </c>
      <c r="P39">
        <v>2</v>
      </c>
      <c r="Q39">
        <v>2</v>
      </c>
      <c r="R39">
        <v>2</v>
      </c>
      <c r="S39">
        <v>2</v>
      </c>
      <c r="T39">
        <v>2</v>
      </c>
      <c r="U39">
        <v>2</v>
      </c>
      <c r="V39">
        <v>2</v>
      </c>
      <c r="W39">
        <v>2</v>
      </c>
      <c r="X39" s="5">
        <v>3</v>
      </c>
      <c r="Y39" s="5">
        <v>3</v>
      </c>
      <c r="Z39" s="5">
        <v>3</v>
      </c>
      <c r="AA39" s="5">
        <v>3</v>
      </c>
      <c r="AB39" s="5">
        <v>3</v>
      </c>
      <c r="AC39" s="5">
        <v>2</v>
      </c>
      <c r="AD39" s="5">
        <v>2</v>
      </c>
      <c r="AE39" s="5">
        <v>2</v>
      </c>
      <c r="AF39" s="5">
        <v>2</v>
      </c>
      <c r="AG39" s="5">
        <v>2</v>
      </c>
      <c r="AH39" s="5">
        <v>2</v>
      </c>
      <c r="AI39" s="5">
        <v>2</v>
      </c>
      <c r="AJ39" s="5">
        <v>2</v>
      </c>
      <c r="AK39" s="5">
        <v>2</v>
      </c>
      <c r="AL39" s="5">
        <v>2</v>
      </c>
      <c r="AM39" s="5">
        <v>2</v>
      </c>
      <c r="AN39" s="5">
        <v>2</v>
      </c>
      <c r="AO39" s="5">
        <v>2</v>
      </c>
      <c r="AP39" s="5">
        <v>1</v>
      </c>
      <c r="AQ39" s="5">
        <v>1</v>
      </c>
      <c r="AR39" s="5">
        <v>1</v>
      </c>
      <c r="AS39" s="5">
        <v>1</v>
      </c>
      <c r="AT39" s="5">
        <v>1</v>
      </c>
      <c r="AU39" s="5">
        <v>1</v>
      </c>
      <c r="AV39" s="5">
        <v>1</v>
      </c>
      <c r="AW39" s="5">
        <v>1</v>
      </c>
      <c r="AX39" s="5">
        <v>1</v>
      </c>
      <c r="AY39" s="5">
        <v>1</v>
      </c>
      <c r="AZ39" s="5">
        <v>1</v>
      </c>
      <c r="BA39" s="5">
        <v>1</v>
      </c>
      <c r="BB39" s="5">
        <v>1</v>
      </c>
      <c r="BC39" s="5">
        <v>1</v>
      </c>
      <c r="BD39" s="5">
        <v>1</v>
      </c>
      <c r="BE39" s="5">
        <v>1</v>
      </c>
      <c r="BF39" s="5">
        <v>1</v>
      </c>
    </row>
    <row r="40" spans="1:63" x14ac:dyDescent="0.25">
      <c r="A40" t="s">
        <v>122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</row>
    <row r="41" spans="1:63" x14ac:dyDescent="0.25">
      <c r="A41" t="s">
        <v>123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2</v>
      </c>
      <c r="AR41">
        <v>2</v>
      </c>
      <c r="AS41">
        <v>2</v>
      </c>
      <c r="AT41">
        <v>2</v>
      </c>
      <c r="AU41">
        <v>3</v>
      </c>
      <c r="AV41">
        <v>3</v>
      </c>
      <c r="AW41">
        <v>3</v>
      </c>
      <c r="AX41">
        <v>3</v>
      </c>
      <c r="AY41">
        <v>2</v>
      </c>
      <c r="AZ41">
        <v>2</v>
      </c>
      <c r="BA41">
        <v>2</v>
      </c>
      <c r="BB41">
        <v>2</v>
      </c>
      <c r="BC41">
        <v>3</v>
      </c>
      <c r="BD41">
        <v>3</v>
      </c>
      <c r="BE41">
        <v>3</v>
      </c>
      <c r="BF41">
        <v>3</v>
      </c>
    </row>
    <row r="42" spans="1:63" x14ac:dyDescent="0.25"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AM42"/>
      <c r="AN42"/>
      <c r="AO42"/>
      <c r="AP42"/>
      <c r="AQ42"/>
      <c r="AR42"/>
      <c r="AX42" s="5"/>
      <c r="AY42" s="5"/>
      <c r="AZ42" s="5"/>
      <c r="BA42" s="5"/>
      <c r="BB42" s="5"/>
      <c r="BC42" s="5"/>
    </row>
    <row r="43" spans="1:63" x14ac:dyDescent="0.25"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AM43"/>
      <c r="AN43"/>
      <c r="AO43"/>
      <c r="AP43"/>
      <c r="AQ43"/>
      <c r="AR43"/>
      <c r="AX43" s="5"/>
      <c r="AY43" s="5"/>
      <c r="AZ43" s="5"/>
      <c r="BA43" s="5"/>
      <c r="BB43" s="5"/>
      <c r="BC43" s="5"/>
    </row>
    <row r="44" spans="1:63" x14ac:dyDescent="0.25"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AM44"/>
      <c r="AN44"/>
      <c r="AO44"/>
      <c r="AP44"/>
      <c r="AQ44"/>
      <c r="AR44"/>
      <c r="AX44" s="5"/>
      <c r="AY44" s="5"/>
      <c r="AZ44" s="5"/>
      <c r="BA44" s="5"/>
      <c r="BB44" s="5"/>
      <c r="BC44" s="5"/>
    </row>
    <row r="47" spans="1:63" x14ac:dyDescent="0.25">
      <c r="A47" t="s">
        <v>107</v>
      </c>
      <c r="C47" t="e">
        <f>HLOOKUP(SIMUL!$B$6,Loonschalen!$B$35:$BF$36,2,FALSE)</f>
        <v>#N/A</v>
      </c>
      <c r="D47" t="e">
        <f>HLOOKUP(SIMUL!$B$6,Loonschalen!$B$35:$BF$37,3,FALSE)</f>
        <v>#N/A</v>
      </c>
      <c r="E47" t="e">
        <f>HLOOKUP(SIMUL!$B$6,Loonschalen!$B$35:$BF$38,4,FALSE)</f>
        <v>#N/A</v>
      </c>
      <c r="F47" t="e">
        <f>HLOOKUP(SIMUL!$B$6,Loonschalen!$B$35:$BF$39,5,FALSE)</f>
        <v>#N/A</v>
      </c>
      <c r="G47" t="e">
        <f>HLOOKUP(SIMUL!$B$6,Loonschalen!$B$35:$BF$40,6,FALSE)</f>
        <v>#N/A</v>
      </c>
      <c r="H47" t="e">
        <f>HLOOKUP(SIMUL!$B$6,Loonschalen!$B$35:$BF$41,7,FALSE)</f>
        <v>#N/A</v>
      </c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AM47"/>
      <c r="AN47"/>
      <c r="AO47"/>
      <c r="AP47"/>
      <c r="AQ47"/>
      <c r="AR47"/>
      <c r="AX47" s="5"/>
      <c r="AY47" s="5"/>
      <c r="AZ47" s="5"/>
      <c r="BA47" s="5"/>
      <c r="BB47" s="5"/>
      <c r="BC47" s="5"/>
    </row>
    <row r="48" spans="1:63" x14ac:dyDescent="0.25">
      <c r="A48" t="s">
        <v>108</v>
      </c>
      <c r="C48" t="e">
        <f>HLOOKUP(SIMUL!#REF!,Loonschalen!$A$35:$BF$36,2,FALSE)</f>
        <v>#REF!</v>
      </c>
      <c r="D48" t="e">
        <f>HLOOKUP(SIMUL!#REF!,Loonschalen!$A$35:$BF$37,3,FALSE)</f>
        <v>#REF!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AM48"/>
      <c r="AN48"/>
      <c r="AO48"/>
      <c r="AP48"/>
      <c r="AQ48"/>
      <c r="AR48"/>
      <c r="AX48" s="5"/>
      <c r="AY48" s="5"/>
      <c r="AZ48" s="5"/>
      <c r="BA48" s="5"/>
      <c r="BB48" s="5"/>
      <c r="BC48" s="5"/>
    </row>
    <row r="49" spans="3:55" x14ac:dyDescent="0.25">
      <c r="C49" t="e">
        <f>C48-C47</f>
        <v>#REF!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AM49"/>
      <c r="AN49"/>
      <c r="AO49"/>
      <c r="AP49"/>
      <c r="AQ49"/>
      <c r="AR49"/>
      <c r="AX49" s="5"/>
      <c r="AY49" s="5"/>
      <c r="AZ49" s="5"/>
      <c r="BA49" s="5"/>
      <c r="BB49" s="5"/>
      <c r="BC49" s="5"/>
    </row>
  </sheetData>
  <sheetProtection algorithmName="SHA-512" hashValue="9tAV1wD4Niu8U4zij/PXUtY22f8SxFivoR/qNBNrWJqZVcwKzRg08zVq62kTLAqCjxtvUZtwOIRqAueiJ3IuKw==" saltValue="4K+bl9RPl0eUISGBy8Rs9A==" spinCount="100000" sheet="1" objects="1" scenarios="1"/>
  <phoneticPr fontId="4" type="noConversion"/>
  <pageMargins left="0.7" right="0.7" top="0.75" bottom="0.75" header="0.3" footer="0.3"/>
  <pageSetup paperSize="9" orientation="portrait" horizontalDpi="30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0A0C-109B-4BC5-9FD4-5155720D64DE}">
  <dimension ref="A1:AK61"/>
  <sheetViews>
    <sheetView workbookViewId="0">
      <selection activeCell="C4" sqref="C4"/>
    </sheetView>
  </sheetViews>
  <sheetFormatPr defaultRowHeight="15" x14ac:dyDescent="0.25"/>
  <cols>
    <col min="1" max="1" width="20.28515625" bestFit="1" customWidth="1"/>
    <col min="2" max="2" width="20.140625" customWidth="1"/>
    <col min="20" max="20" width="33.28515625" customWidth="1"/>
    <col min="21" max="21" width="10.7109375" customWidth="1"/>
    <col min="22" max="22" width="21.140625" bestFit="1" customWidth="1"/>
    <col min="23" max="23" width="11.5703125" customWidth="1"/>
    <col min="30" max="30" width="16.140625" bestFit="1" customWidth="1"/>
    <col min="31" max="31" width="12" bestFit="1" customWidth="1"/>
  </cols>
  <sheetData>
    <row r="1" spans="1:27" ht="16.5" thickTop="1" thickBot="1" x14ac:dyDescent="0.3">
      <c r="A1" s="307" t="s">
        <v>316</v>
      </c>
      <c r="B1" s="308"/>
      <c r="C1" s="309"/>
      <c r="D1" s="309"/>
      <c r="E1" s="310"/>
      <c r="I1" s="311" t="s">
        <v>140</v>
      </c>
      <c r="J1" s="312"/>
      <c r="K1" s="312"/>
      <c r="L1" s="312"/>
      <c r="M1" s="312"/>
      <c r="N1" s="313"/>
      <c r="T1" s="298" t="s">
        <v>315</v>
      </c>
      <c r="U1" s="299"/>
      <c r="V1" s="299"/>
      <c r="W1" s="300"/>
      <c r="X1" s="120"/>
      <c r="Y1" s="120"/>
    </row>
    <row r="2" spans="1:27" ht="15.75" thickBot="1" x14ac:dyDescent="0.3">
      <c r="A2" s="301"/>
      <c r="B2" s="302"/>
      <c r="C2" s="302"/>
      <c r="D2" s="302"/>
      <c r="E2" s="303"/>
      <c r="I2" s="312"/>
      <c r="J2" s="312"/>
      <c r="K2" s="312"/>
      <c r="L2" s="312"/>
      <c r="M2" s="312"/>
      <c r="N2" s="313"/>
      <c r="T2" s="301"/>
      <c r="U2" s="302"/>
      <c r="V2" s="302"/>
      <c r="W2" s="303"/>
      <c r="Y2">
        <f>YEAR(SIMUL!B4)</f>
        <v>1900</v>
      </c>
    </row>
    <row r="3" spans="1:27" ht="15.75" thickBot="1" x14ac:dyDescent="0.3">
      <c r="A3" s="292" t="s">
        <v>141</v>
      </c>
      <c r="B3" s="293"/>
      <c r="C3" s="67" t="e">
        <f>'SIMUL SSGPI'!B3</f>
        <v>#N/A</v>
      </c>
      <c r="D3" s="5"/>
      <c r="E3" s="5"/>
      <c r="I3" s="314" t="s">
        <v>142</v>
      </c>
      <c r="J3" s="316" t="s">
        <v>143</v>
      </c>
      <c r="K3" s="316" t="s">
        <v>144</v>
      </c>
      <c r="L3" s="314" t="s">
        <v>145</v>
      </c>
      <c r="M3" s="314" t="s">
        <v>146</v>
      </c>
      <c r="N3" s="317" t="s">
        <v>147</v>
      </c>
      <c r="T3" s="121" t="s">
        <v>141</v>
      </c>
      <c r="U3" s="122" t="e">
        <f>C3</f>
        <v>#N/A</v>
      </c>
      <c r="V3" s="123" t="s">
        <v>174</v>
      </c>
      <c r="W3" s="124" t="e">
        <f>IF(Loonschalen!C47=7,"d","")</f>
        <v>#N/A</v>
      </c>
    </row>
    <row r="4" spans="1:27" ht="15.75" thickBot="1" x14ac:dyDescent="0.3">
      <c r="A4" s="294" t="s">
        <v>36</v>
      </c>
      <c r="B4" s="295"/>
      <c r="C4" s="70" t="e">
        <f>'SIMUL SSGPI'!B5</f>
        <v>#N/A</v>
      </c>
      <c r="D4" s="5" t="e">
        <f>C4*C3/12</f>
        <v>#N/A</v>
      </c>
      <c r="E4" s="5"/>
      <c r="I4" s="315"/>
      <c r="J4" s="315"/>
      <c r="K4" s="315"/>
      <c r="L4" s="315"/>
      <c r="M4" s="315"/>
      <c r="N4" s="318"/>
      <c r="T4" s="125" t="s">
        <v>36</v>
      </c>
      <c r="U4" s="126" t="e">
        <f>C4</f>
        <v>#N/A</v>
      </c>
      <c r="V4" s="5" t="e">
        <f ca="1">U4*U3*0.025*U14</f>
        <v>#N/A</v>
      </c>
      <c r="W4" s="5"/>
    </row>
    <row r="5" spans="1:27" ht="15.75" thickBot="1" x14ac:dyDescent="0.3">
      <c r="A5" s="296" t="s">
        <v>172</v>
      </c>
      <c r="B5" s="297"/>
      <c r="C5" s="72">
        <f>'SIMUL SSGPI'!B15</f>
        <v>0</v>
      </c>
      <c r="D5" s="5" t="e">
        <f>C5*C3/12</f>
        <v>#N/A</v>
      </c>
      <c r="E5" s="5"/>
      <c r="I5" s="315"/>
      <c r="J5" s="315"/>
      <c r="K5" s="315"/>
      <c r="L5" s="315"/>
      <c r="M5" s="315"/>
      <c r="N5" s="318"/>
      <c r="T5" s="125" t="s">
        <v>175</v>
      </c>
      <c r="U5" s="127">
        <f>C5</f>
        <v>0</v>
      </c>
      <c r="V5" s="5" t="e">
        <f ca="1">AH5*U3*0.025*U14</f>
        <v>#N/A</v>
      </c>
      <c r="W5" s="5"/>
    </row>
    <row r="6" spans="1:27" ht="15.75" thickBot="1" x14ac:dyDescent="0.3">
      <c r="A6" s="68" t="s">
        <v>148</v>
      </c>
      <c r="B6" s="73"/>
      <c r="C6" s="70">
        <f>'SIMUL SSGPI'!B6</f>
        <v>0</v>
      </c>
      <c r="D6" s="5" t="e">
        <f>C6*C3/12</f>
        <v>#N/A</v>
      </c>
      <c r="E6" s="5"/>
      <c r="I6" s="74" t="s">
        <v>149</v>
      </c>
      <c r="J6" s="75">
        <v>1</v>
      </c>
      <c r="K6" s="76">
        <v>0</v>
      </c>
      <c r="L6" s="76">
        <v>38</v>
      </c>
      <c r="M6" s="77">
        <f>(J6/(J6+K6))*L6/38</f>
        <v>1</v>
      </c>
      <c r="N6" s="78">
        <f t="shared" ref="N6:N21" si="0">M6/12</f>
        <v>8.3333333333333329E-2</v>
      </c>
      <c r="T6" s="128" t="s">
        <v>176</v>
      </c>
      <c r="U6" s="126">
        <f>C6</f>
        <v>0</v>
      </c>
      <c r="V6" s="5" t="e">
        <f ca="1">U6*U3*0.025*U14</f>
        <v>#N/A</v>
      </c>
      <c r="W6" s="5"/>
    </row>
    <row r="7" spans="1:27" ht="16.5" thickTop="1" thickBot="1" x14ac:dyDescent="0.3">
      <c r="A7" s="68"/>
      <c r="B7" s="79"/>
      <c r="C7" s="72"/>
      <c r="D7" s="5" t="e">
        <f>C7*C3/12</f>
        <v>#N/A</v>
      </c>
      <c r="E7" s="80"/>
      <c r="F7" s="81"/>
      <c r="G7" s="82"/>
      <c r="I7" s="74" t="s">
        <v>150</v>
      </c>
      <c r="J7" s="83">
        <v>1</v>
      </c>
      <c r="K7" s="84">
        <v>0</v>
      </c>
      <c r="L7" s="84">
        <f t="shared" ref="L7:L14" si="1">L6</f>
        <v>38</v>
      </c>
      <c r="M7" s="85">
        <f t="shared" ref="M7:M21" si="2">(J7/(J7+K7))*L7/38</f>
        <v>1</v>
      </c>
      <c r="N7" s="86">
        <f t="shared" si="0"/>
        <v>8.3333333333333329E-2</v>
      </c>
      <c r="T7" s="125" t="s">
        <v>177</v>
      </c>
      <c r="U7" s="72" t="e">
        <f>ROUND(VLOOKUP(Y2,AA47:AG75,4,TRUE),2)</f>
        <v>#N/A</v>
      </c>
      <c r="V7" s="5" t="e">
        <f ca="1">U7*U14</f>
        <v>#N/A</v>
      </c>
      <c r="W7" s="129" t="e">
        <f ca="1">V4+V5+V6+V7</f>
        <v>#N/A</v>
      </c>
      <c r="X7" s="336" t="s">
        <v>178</v>
      </c>
      <c r="Y7" s="326" t="e">
        <f ca="1">W8+W7</f>
        <v>#N/A</v>
      </c>
    </row>
    <row r="8" spans="1:27" ht="15.75" thickBot="1" x14ac:dyDescent="0.3">
      <c r="A8" s="87"/>
      <c r="B8" s="69"/>
      <c r="C8" s="70"/>
      <c r="D8" s="5">
        <f>C8/12</f>
        <v>0</v>
      </c>
      <c r="E8" s="80"/>
      <c r="F8" s="45"/>
      <c r="G8" s="88"/>
      <c r="I8" s="74" t="s">
        <v>151</v>
      </c>
      <c r="J8" s="83">
        <v>1</v>
      </c>
      <c r="K8" s="84">
        <v>0</v>
      </c>
      <c r="L8" s="84">
        <f t="shared" si="1"/>
        <v>38</v>
      </c>
      <c r="M8" s="85">
        <f t="shared" si="2"/>
        <v>1</v>
      </c>
      <c r="N8" s="86">
        <f t="shared" si="0"/>
        <v>8.3333333333333329E-2</v>
      </c>
      <c r="T8" s="130"/>
      <c r="U8" s="72" t="e">
        <f>ROUND(VLOOKUP(Y2,AA47:AG75,5,TRUE),2)</f>
        <v>#N/A</v>
      </c>
      <c r="V8" s="5"/>
      <c r="W8" s="131" t="e">
        <f ca="1">U8*U14</f>
        <v>#N/A</v>
      </c>
      <c r="X8" s="337"/>
      <c r="Y8" s="327"/>
      <c r="AA8">
        <f>1.02*1.02*1.02*1.02*1.02*1.02*1.02*1.02*1.02*1.02*1.02</f>
        <v>1.2433743083946525</v>
      </c>
    </row>
    <row r="9" spans="1:27" ht="15.75" thickBot="1" x14ac:dyDescent="0.3">
      <c r="A9" s="71" t="s">
        <v>152</v>
      </c>
      <c r="B9" s="69"/>
      <c r="C9" s="89" t="e">
        <f ca="1">breuk*'SIMUL SSGPI'!B8/'SIMUL SSGPI'!B9</f>
        <v>#N/A</v>
      </c>
      <c r="I9" s="74" t="s">
        <v>153</v>
      </c>
      <c r="J9" s="83">
        <v>1</v>
      </c>
      <c r="K9" s="84">
        <v>0</v>
      </c>
      <c r="L9" s="84">
        <f t="shared" si="1"/>
        <v>38</v>
      </c>
      <c r="M9" s="85">
        <f t="shared" si="2"/>
        <v>1</v>
      </c>
      <c r="N9" s="86">
        <f t="shared" si="0"/>
        <v>8.3333333333333329E-2</v>
      </c>
      <c r="T9" s="328" t="s">
        <v>179</v>
      </c>
      <c r="U9" s="329"/>
      <c r="V9" s="329"/>
      <c r="W9" s="330"/>
      <c r="AA9" s="58" t="e">
        <f>C3</f>
        <v>#N/A</v>
      </c>
    </row>
    <row r="10" spans="1:27" ht="15.75" thickBot="1" x14ac:dyDescent="0.3">
      <c r="A10" s="90"/>
      <c r="C10" s="5"/>
      <c r="D10" s="91"/>
      <c r="E10" s="5"/>
      <c r="I10" s="74" t="s">
        <v>154</v>
      </c>
      <c r="J10" s="83">
        <v>1</v>
      </c>
      <c r="K10" s="84">
        <v>0</v>
      </c>
      <c r="L10" s="84">
        <f t="shared" si="1"/>
        <v>38</v>
      </c>
      <c r="M10" s="85">
        <f t="shared" si="2"/>
        <v>1</v>
      </c>
      <c r="N10" s="86">
        <f t="shared" si="0"/>
        <v>8.3333333333333329E-2</v>
      </c>
      <c r="T10" s="132" t="s">
        <v>180</v>
      </c>
      <c r="U10" s="72" t="e">
        <f>(U4+AH5+U6)*U3/12*0.07</f>
        <v>#N/A</v>
      </c>
      <c r="V10" s="331" t="s">
        <v>181</v>
      </c>
      <c r="W10" s="5"/>
      <c r="AA10">
        <f>100/1.2936</f>
        <v>77.303648732220154</v>
      </c>
    </row>
    <row r="11" spans="1:27" ht="15.75" thickBot="1" x14ac:dyDescent="0.3">
      <c r="A11" s="304" t="s">
        <v>155</v>
      </c>
      <c r="B11" s="305"/>
      <c r="C11" s="306" t="e">
        <f ca="1">ROUND(((D4+D5+D6)*C9+D8)*0.92,2)</f>
        <v>#N/A</v>
      </c>
      <c r="D11" s="306"/>
      <c r="E11" s="306"/>
      <c r="I11" s="74" t="s">
        <v>156</v>
      </c>
      <c r="J11" s="83">
        <v>1</v>
      </c>
      <c r="K11" s="84">
        <v>0</v>
      </c>
      <c r="L11" s="84">
        <f t="shared" si="1"/>
        <v>38</v>
      </c>
      <c r="M11" s="85">
        <f t="shared" si="2"/>
        <v>1</v>
      </c>
      <c r="N11" s="86">
        <f t="shared" si="0"/>
        <v>8.3333333333333329E-2</v>
      </c>
      <c r="T11" s="133" t="s">
        <v>182</v>
      </c>
      <c r="U11" s="72" t="e">
        <f>V26*U3</f>
        <v>#N/A</v>
      </c>
      <c r="V11" s="332"/>
      <c r="W11" s="134" t="e">
        <f>IF(U10&lt;U11,U11,(IF(U10&gt;U12,U12,U10)))</f>
        <v>#N/A</v>
      </c>
      <c r="AA11" t="e">
        <f>AA10*AA9</f>
        <v>#N/A</v>
      </c>
    </row>
    <row r="12" spans="1:27" ht="15.75" thickBot="1" x14ac:dyDescent="0.3">
      <c r="A12" s="92"/>
      <c r="C12" s="306"/>
      <c r="D12" s="306"/>
      <c r="E12" s="306"/>
      <c r="I12" s="74" t="s">
        <v>157</v>
      </c>
      <c r="J12" s="83">
        <v>1</v>
      </c>
      <c r="K12" s="84">
        <v>0</v>
      </c>
      <c r="L12" s="84">
        <f t="shared" si="1"/>
        <v>38</v>
      </c>
      <c r="M12" s="85">
        <f t="shared" si="2"/>
        <v>1</v>
      </c>
      <c r="N12" s="86">
        <f t="shared" si="0"/>
        <v>8.3333333333333329E-2</v>
      </c>
      <c r="T12" s="133" t="s">
        <v>111</v>
      </c>
      <c r="U12" s="72" t="e">
        <f>V27*U3</f>
        <v>#N/A</v>
      </c>
      <c r="V12" s="332"/>
      <c r="W12" s="129" t="e">
        <f ca="1">W11*U14</f>
        <v>#N/A</v>
      </c>
    </row>
    <row r="13" spans="1:27" ht="15.75" thickBot="1" x14ac:dyDescent="0.3">
      <c r="A13" s="92"/>
      <c r="C13" s="5"/>
      <c r="D13" s="5"/>
      <c r="E13" s="80"/>
      <c r="I13" s="93" t="s">
        <v>158</v>
      </c>
      <c r="J13" s="94">
        <v>1</v>
      </c>
      <c r="K13" s="95">
        <v>0</v>
      </c>
      <c r="L13" s="84">
        <f t="shared" si="1"/>
        <v>38</v>
      </c>
      <c r="M13" s="96">
        <f t="shared" si="2"/>
        <v>1</v>
      </c>
      <c r="N13" s="97">
        <f t="shared" si="0"/>
        <v>8.3333333333333329E-2</v>
      </c>
      <c r="T13" s="125" t="s">
        <v>183</v>
      </c>
      <c r="U13" s="72" t="e">
        <f ca="1">IF(U14&gt;0.5,AA13,IF(U14=0,0,AA13/2))</f>
        <v>#N/A</v>
      </c>
      <c r="V13" s="5"/>
      <c r="W13" s="5"/>
      <c r="Y13" s="5"/>
      <c r="AA13" s="143" t="e">
        <f>IF(W3="d",AA10*U3,0)</f>
        <v>#N/A</v>
      </c>
    </row>
    <row r="14" spans="1:27" ht="15.75" thickBot="1" x14ac:dyDescent="0.3">
      <c r="A14" s="304" t="s">
        <v>159</v>
      </c>
      <c r="B14" s="305"/>
      <c r="C14" s="338" t="e">
        <f ca="1">ROUND(C11-C11*0.1307,2)</f>
        <v>#N/A</v>
      </c>
      <c r="D14" s="338"/>
      <c r="E14" s="338"/>
      <c r="I14" s="74" t="s">
        <v>160</v>
      </c>
      <c r="J14" s="99">
        <v>1</v>
      </c>
      <c r="K14" s="84">
        <v>0</v>
      </c>
      <c r="L14" s="84">
        <f t="shared" si="1"/>
        <v>38</v>
      </c>
      <c r="M14" s="85">
        <f t="shared" si="2"/>
        <v>1</v>
      </c>
      <c r="N14" s="86">
        <f t="shared" si="0"/>
        <v>8.3333333333333329E-2</v>
      </c>
      <c r="T14" s="121" t="s">
        <v>152</v>
      </c>
      <c r="U14" s="89" t="e">
        <f ca="1">C9</f>
        <v>#N/A</v>
      </c>
      <c r="V14" s="5"/>
      <c r="W14" s="5"/>
    </row>
    <row r="15" spans="1:27" ht="15.75" thickBot="1" x14ac:dyDescent="0.3">
      <c r="A15" s="100" t="s">
        <v>161</v>
      </c>
      <c r="B15" s="67" t="e">
        <f>C3</f>
        <v>#N/A</v>
      </c>
      <c r="C15" s="338"/>
      <c r="D15" s="338"/>
      <c r="E15" s="338"/>
      <c r="I15" s="74" t="s">
        <v>162</v>
      </c>
      <c r="J15" s="99">
        <v>1</v>
      </c>
      <c r="K15" s="84">
        <v>0</v>
      </c>
      <c r="L15" s="84">
        <f>L14</f>
        <v>38</v>
      </c>
      <c r="M15" s="85">
        <f t="shared" si="2"/>
        <v>1</v>
      </c>
      <c r="N15" s="86">
        <f t="shared" si="0"/>
        <v>8.3333333333333329E-2</v>
      </c>
      <c r="T15" s="135"/>
      <c r="U15" s="5"/>
      <c r="V15" s="9"/>
      <c r="W15" s="5"/>
    </row>
    <row r="16" spans="1:27" ht="15.75" thickBot="1" x14ac:dyDescent="0.3">
      <c r="A16" s="92"/>
      <c r="B16" s="66" t="s">
        <v>163</v>
      </c>
      <c r="C16" s="98"/>
      <c r="D16" s="98"/>
      <c r="E16" s="98"/>
      <c r="I16" s="74" t="s">
        <v>164</v>
      </c>
      <c r="J16" s="99">
        <v>1</v>
      </c>
      <c r="K16" s="84">
        <v>0</v>
      </c>
      <c r="L16" s="84">
        <f>L15</f>
        <v>38</v>
      </c>
      <c r="M16" s="85">
        <f t="shared" si="2"/>
        <v>1</v>
      </c>
      <c r="N16" s="86">
        <f t="shared" si="0"/>
        <v>8.3333333333333329E-2</v>
      </c>
      <c r="T16" s="136" t="s">
        <v>184</v>
      </c>
      <c r="U16" s="5"/>
      <c r="V16" s="137" t="s">
        <v>178</v>
      </c>
      <c r="W16" s="129" t="e">
        <f ca="1">W7+W8+W12+U13</f>
        <v>#N/A</v>
      </c>
    </row>
    <row r="17" spans="1:25" ht="15.75" thickBot="1" x14ac:dyDescent="0.3">
      <c r="A17" s="101" t="s">
        <v>165</v>
      </c>
      <c r="B17" s="102" t="e">
        <f ca="1">B44</f>
        <v>#N/A</v>
      </c>
      <c r="C17" s="339" t="e">
        <f ca="1">ROUND(C14*B17,2)</f>
        <v>#N/A</v>
      </c>
      <c r="D17" s="338"/>
      <c r="E17" s="338"/>
      <c r="I17" s="74" t="s">
        <v>166</v>
      </c>
      <c r="J17" s="99">
        <v>1</v>
      </c>
      <c r="K17" s="84">
        <v>0</v>
      </c>
      <c r="L17" s="84">
        <f>L16</f>
        <v>38</v>
      </c>
      <c r="M17" s="85">
        <f t="shared" si="2"/>
        <v>1</v>
      </c>
      <c r="N17" s="86">
        <f t="shared" si="0"/>
        <v>8.3333333333333329E-2</v>
      </c>
      <c r="T17" s="101" t="s">
        <v>185</v>
      </c>
      <c r="U17" s="21" t="e">
        <f ca="1">0.0355*(W8+W12+U13)</f>
        <v>#N/A</v>
      </c>
      <c r="V17" s="138" t="s">
        <v>186</v>
      </c>
      <c r="W17" s="21" t="e">
        <f ca="1">W16*0.1307</f>
        <v>#N/A</v>
      </c>
    </row>
    <row r="18" spans="1:25" ht="15.75" thickBot="1" x14ac:dyDescent="0.3">
      <c r="A18" s="92"/>
      <c r="C18" s="98"/>
      <c r="D18" s="98"/>
      <c r="E18" s="98"/>
      <c r="I18" s="103" t="s">
        <v>167</v>
      </c>
      <c r="J18" s="99">
        <v>0</v>
      </c>
      <c r="K18" s="84">
        <v>1</v>
      </c>
      <c r="L18" s="84">
        <v>0</v>
      </c>
      <c r="M18" s="85">
        <f t="shared" si="2"/>
        <v>0</v>
      </c>
      <c r="N18" s="86">
        <f t="shared" si="0"/>
        <v>0</v>
      </c>
      <c r="T18" s="101" t="s">
        <v>187</v>
      </c>
      <c r="U18" s="21" t="e">
        <f ca="1">0.011*(W8+W12+U13)</f>
        <v>#N/A</v>
      </c>
      <c r="V18" s="138" t="s">
        <v>188</v>
      </c>
      <c r="W18" s="21" t="e">
        <f ca="1">W16*0.011</f>
        <v>#N/A</v>
      </c>
    </row>
    <row r="19" spans="1:25" ht="15.75" thickBot="1" x14ac:dyDescent="0.3">
      <c r="A19" s="92"/>
      <c r="C19" s="98"/>
      <c r="D19" s="98"/>
      <c r="E19" s="98"/>
      <c r="I19" s="103" t="s">
        <v>167</v>
      </c>
      <c r="J19" s="99">
        <v>0</v>
      </c>
      <c r="K19" s="84">
        <v>1</v>
      </c>
      <c r="L19" s="84">
        <v>0</v>
      </c>
      <c r="M19" s="85">
        <f t="shared" si="2"/>
        <v>0</v>
      </c>
      <c r="N19" s="86">
        <f t="shared" si="0"/>
        <v>0</v>
      </c>
      <c r="T19" s="101" t="s">
        <v>189</v>
      </c>
      <c r="U19" s="21" t="e">
        <f ca="1">(W16-U17)*U57</f>
        <v>#N/A</v>
      </c>
      <c r="V19" s="138" t="s">
        <v>190</v>
      </c>
      <c r="W19" s="21" t="e">
        <f ca="1">(W16-W17)*U57</f>
        <v>#N/A</v>
      </c>
    </row>
    <row r="20" spans="1:25" ht="16.5" thickTop="1" thickBot="1" x14ac:dyDescent="0.3">
      <c r="A20" s="304" t="s">
        <v>168</v>
      </c>
      <c r="B20" s="319"/>
      <c r="C20" s="320" t="e">
        <f ca="1">C14-C17</f>
        <v>#N/A</v>
      </c>
      <c r="D20" s="321"/>
      <c r="E20" s="322"/>
      <c r="I20" s="103" t="s">
        <v>167</v>
      </c>
      <c r="J20" s="99">
        <v>0</v>
      </c>
      <c r="K20" s="84">
        <v>1</v>
      </c>
      <c r="L20" s="84">
        <v>0</v>
      </c>
      <c r="M20" s="85">
        <f t="shared" si="2"/>
        <v>0</v>
      </c>
      <c r="N20" s="86">
        <f t="shared" si="0"/>
        <v>0</v>
      </c>
      <c r="T20" s="139" t="s">
        <v>191</v>
      </c>
      <c r="U20" s="140" t="e">
        <f ca="1">ROUND(W16-U17-U18-U19,2)</f>
        <v>#N/A</v>
      </c>
      <c r="V20" s="141" t="s">
        <v>192</v>
      </c>
      <c r="W20" s="140" t="e">
        <f ca="1">ROUND(W16-W17-W18-W19,2)</f>
        <v>#N/A</v>
      </c>
      <c r="X20" s="112"/>
      <c r="Y20" s="112"/>
    </row>
    <row r="21" spans="1:25" ht="15.75" thickBot="1" x14ac:dyDescent="0.3">
      <c r="A21" s="92"/>
      <c r="C21" s="323"/>
      <c r="D21" s="324"/>
      <c r="E21" s="325"/>
      <c r="I21" s="104" t="s">
        <v>167</v>
      </c>
      <c r="J21" s="105">
        <v>0</v>
      </c>
      <c r="K21" s="95">
        <v>1</v>
      </c>
      <c r="L21" s="95">
        <v>0</v>
      </c>
      <c r="M21" s="85">
        <f t="shared" si="2"/>
        <v>0</v>
      </c>
      <c r="N21" s="86">
        <f t="shared" si="0"/>
        <v>0</v>
      </c>
      <c r="U21" s="5"/>
      <c r="V21" s="5"/>
      <c r="W21" s="5"/>
    </row>
    <row r="22" spans="1:25" ht="16.5" thickTop="1" thickBot="1" x14ac:dyDescent="0.3">
      <c r="A22" s="92"/>
      <c r="C22" s="5"/>
      <c r="D22" s="5"/>
      <c r="E22" s="5"/>
      <c r="I22" s="340" t="s">
        <v>169</v>
      </c>
      <c r="J22" s="340"/>
      <c r="K22" s="340"/>
      <c r="L22" s="340"/>
      <c r="M22" s="340"/>
      <c r="N22" s="106">
        <f>SUM(N6:N21)</f>
        <v>1</v>
      </c>
      <c r="T22" s="12" t="s">
        <v>57</v>
      </c>
      <c r="U22" s="12"/>
      <c r="V22" s="13">
        <f>IF($B$4&lt;16100.01,720,(IF($B$4&lt;16460,(16460-$B$4)+360,(IF($B$4&lt;18330.01,360,(IF($B$4&lt;18690,(18690-$B$4),0)))))))</f>
        <v>720</v>
      </c>
      <c r="W22" s="5"/>
      <c r="X22" s="5"/>
    </row>
    <row r="23" spans="1:25" ht="15.75" thickBot="1" x14ac:dyDescent="0.3">
      <c r="A23" s="92"/>
      <c r="C23" s="5"/>
      <c r="D23" s="5"/>
      <c r="E23" s="5"/>
      <c r="I23" s="48"/>
      <c r="J23" s="48"/>
      <c r="K23" s="48"/>
      <c r="L23" s="48"/>
      <c r="M23" s="48"/>
      <c r="N23" s="107"/>
      <c r="T23" s="12" t="s">
        <v>58</v>
      </c>
      <c r="U23" s="12"/>
      <c r="V23" s="13">
        <f>IF($B$4&lt;16100.01,360,(IF($B$4&lt;16294.6,((16294.59-$B$4)*0.925)+180,(IF($B$4&lt;18330.01,180,(IF($B$4&lt;18524.6,(18524.59-$B$4)*0.925,0)))))))</f>
        <v>360</v>
      </c>
      <c r="W23" s="5"/>
      <c r="X23" s="5"/>
    </row>
    <row r="24" spans="1:25" ht="52.5" thickBot="1" x14ac:dyDescent="0.3">
      <c r="A24" s="92"/>
      <c r="C24" s="5"/>
      <c r="D24" s="5"/>
      <c r="E24" s="5"/>
      <c r="I24" s="108" t="s">
        <v>142</v>
      </c>
      <c r="J24" s="109" t="s">
        <v>143</v>
      </c>
      <c r="K24" s="109" t="s">
        <v>144</v>
      </c>
      <c r="L24" s="108" t="s">
        <v>170</v>
      </c>
      <c r="M24" s="108" t="s">
        <v>146</v>
      </c>
      <c r="N24" s="110" t="s">
        <v>36</v>
      </c>
      <c r="U24" s="5"/>
      <c r="V24" s="5"/>
      <c r="W24" s="5"/>
    </row>
    <row r="25" spans="1:25" ht="15.75" thickBot="1" x14ac:dyDescent="0.3">
      <c r="A25" s="111"/>
      <c r="B25" s="112"/>
      <c r="C25" s="113"/>
      <c r="D25" s="113"/>
      <c r="E25" s="113"/>
      <c r="F25" s="112"/>
      <c r="G25" s="112"/>
      <c r="H25" s="112"/>
      <c r="I25" s="114" t="s">
        <v>171</v>
      </c>
      <c r="J25" s="115">
        <v>1</v>
      </c>
      <c r="K25" s="116">
        <v>0</v>
      </c>
      <c r="L25" s="116">
        <f>L17</f>
        <v>38</v>
      </c>
      <c r="M25" s="117">
        <f>(J25/(J25+K25))*L25/38</f>
        <v>1</v>
      </c>
      <c r="N25" s="118" t="e">
        <f>C4</f>
        <v>#N/A</v>
      </c>
      <c r="T25" t="s">
        <v>193</v>
      </c>
      <c r="U25" s="5"/>
      <c r="V25" s="5"/>
      <c r="W25" s="5"/>
    </row>
    <row r="26" spans="1:25" ht="15.75" thickTop="1" x14ac:dyDescent="0.25">
      <c r="T26" t="s">
        <v>194</v>
      </c>
      <c r="U26" s="5"/>
      <c r="V26" s="5">
        <v>100.95</v>
      </c>
      <c r="W26" s="5"/>
    </row>
    <row r="27" spans="1:25" x14ac:dyDescent="0.25">
      <c r="T27" t="s">
        <v>195</v>
      </c>
      <c r="U27" s="142"/>
      <c r="V27" s="5">
        <v>201.9</v>
      </c>
      <c r="W27" s="5"/>
    </row>
    <row r="28" spans="1:25" x14ac:dyDescent="0.25">
      <c r="U28" s="5"/>
      <c r="V28" s="5"/>
      <c r="W28" s="5"/>
    </row>
    <row r="29" spans="1:25" ht="15.75" thickBot="1" x14ac:dyDescent="0.3">
      <c r="A29" s="119" t="s">
        <v>165</v>
      </c>
      <c r="B29" s="5"/>
      <c r="T29" s="333" t="s">
        <v>196</v>
      </c>
      <c r="U29" s="334"/>
      <c r="V29" s="334"/>
      <c r="W29" s="334"/>
    </row>
    <row r="30" spans="1:25" ht="15.75" thickTop="1" x14ac:dyDescent="0.25">
      <c r="A30" s="232">
        <v>0</v>
      </c>
      <c r="B30" s="58">
        <v>0</v>
      </c>
      <c r="U30" s="5"/>
      <c r="V30" s="5"/>
      <c r="W30" s="5"/>
    </row>
    <row r="31" spans="1:25" x14ac:dyDescent="0.25">
      <c r="A31" s="232">
        <f>ROUNDUP(10415.01/12,2)</f>
        <v>867.92</v>
      </c>
      <c r="B31" s="58">
        <v>0.19170000000000001</v>
      </c>
      <c r="T31" t="s">
        <v>197</v>
      </c>
      <c r="U31" s="5"/>
      <c r="V31" s="5"/>
      <c r="W31" s="5"/>
    </row>
    <row r="32" spans="1:25" x14ac:dyDescent="0.25">
      <c r="A32" s="232">
        <f>ROUNDUP(13300.01/12,2)</f>
        <v>1108.3399999999999</v>
      </c>
      <c r="B32" s="58">
        <v>0.21199999999999999</v>
      </c>
      <c r="T32" t="s">
        <v>198</v>
      </c>
      <c r="U32" s="5"/>
      <c r="V32" s="5"/>
      <c r="W32" s="5"/>
    </row>
    <row r="33" spans="1:33" x14ac:dyDescent="0.25">
      <c r="A33" s="232">
        <f>ROUNDUP(16960.01/12,2)</f>
        <v>1413.34</v>
      </c>
      <c r="B33" s="58">
        <v>0.26250000000000001</v>
      </c>
      <c r="T33" t="s">
        <v>199</v>
      </c>
      <c r="U33" s="5"/>
      <c r="V33" s="5"/>
      <c r="W33" s="5"/>
    </row>
    <row r="34" spans="1:33" x14ac:dyDescent="0.25">
      <c r="A34" s="232">
        <f>ROUNDUP(20340.01/12,2)</f>
        <v>1695.01</v>
      </c>
      <c r="B34" s="58">
        <v>0.313</v>
      </c>
      <c r="T34" t="s">
        <v>200</v>
      </c>
      <c r="U34" s="5"/>
      <c r="V34" s="5"/>
      <c r="W34" s="5"/>
    </row>
    <row r="35" spans="1:33" x14ac:dyDescent="0.25">
      <c r="A35" s="232">
        <f>ROUNDUP(23020.01/12,2)</f>
        <v>1918.34</v>
      </c>
      <c r="B35" s="58">
        <v>0.34329999999999999</v>
      </c>
      <c r="T35" t="s">
        <v>201</v>
      </c>
      <c r="U35" s="5"/>
      <c r="V35" s="5"/>
      <c r="W35" s="5"/>
    </row>
    <row r="36" spans="1:33" x14ac:dyDescent="0.25">
      <c r="A36" s="232">
        <f>ROUNDUP(25710.01/12,2)</f>
        <v>2142.5100000000002</v>
      </c>
      <c r="B36" s="58">
        <v>0.3634</v>
      </c>
      <c r="U36" s="5"/>
      <c r="V36" s="5"/>
      <c r="W36" s="5"/>
    </row>
    <row r="37" spans="1:33" x14ac:dyDescent="0.25">
      <c r="A37" s="232">
        <f>ROUNDUP(31070.01/12,2)</f>
        <v>2589.17</v>
      </c>
      <c r="B37" s="58">
        <v>0.39369999999999999</v>
      </c>
      <c r="T37" t="s">
        <v>202</v>
      </c>
      <c r="U37" s="5"/>
      <c r="V37" s="5"/>
      <c r="W37" s="5"/>
    </row>
    <row r="38" spans="1:33" x14ac:dyDescent="0.25">
      <c r="A38" s="232">
        <f>ROUNDUP(33810.01/12,2)</f>
        <v>2817.51</v>
      </c>
      <c r="B38" s="58">
        <v>0.4239</v>
      </c>
      <c r="T38" t="s">
        <v>203</v>
      </c>
      <c r="U38" s="5"/>
      <c r="V38" s="5"/>
      <c r="W38" s="5"/>
    </row>
    <row r="39" spans="1:33" x14ac:dyDescent="0.25">
      <c r="A39" s="232">
        <f>ROUNDUP(44770.01/12,2)</f>
        <v>3730.84</v>
      </c>
      <c r="B39" s="58">
        <v>0.47439999999999999</v>
      </c>
      <c r="U39" s="5"/>
      <c r="V39" s="5"/>
      <c r="W39" s="5"/>
    </row>
    <row r="40" spans="1:33" x14ac:dyDescent="0.25">
      <c r="A40" s="232">
        <f>ROUNDUP(58460.01/12,2)</f>
        <v>4871.67</v>
      </c>
      <c r="B40" s="58">
        <v>0.53500000000000003</v>
      </c>
      <c r="U40" s="5"/>
      <c r="V40" s="5"/>
      <c r="W40" s="5"/>
    </row>
    <row r="41" spans="1:33" x14ac:dyDescent="0.25">
      <c r="B41" s="5"/>
      <c r="T41" t="s">
        <v>204</v>
      </c>
      <c r="U41" s="5"/>
      <c r="V41" s="5"/>
      <c r="W41" s="5"/>
    </row>
    <row r="42" spans="1:33" x14ac:dyDescent="0.25">
      <c r="A42" t="s">
        <v>173</v>
      </c>
      <c r="B42" s="5"/>
      <c r="T42" s="5">
        <f>A30</f>
        <v>0</v>
      </c>
      <c r="U42" s="58">
        <v>0</v>
      </c>
      <c r="V42" s="5"/>
      <c r="W42" s="5"/>
      <c r="AB42">
        <f>700.1419/683.1441</f>
        <v>1.0248817196840314</v>
      </c>
      <c r="AC42">
        <f>706.68/700.1419</f>
        <v>1.0093382498604926</v>
      </c>
      <c r="AD42">
        <f>AD45/AC45</f>
        <v>1.0010032976041723</v>
      </c>
      <c r="AE42">
        <f>AE45/AD45</f>
        <v>1.0042901491119443</v>
      </c>
      <c r="AF42">
        <f>AF45/AE45</f>
        <v>1.0111266136165675</v>
      </c>
    </row>
    <row r="43" spans="1:33" x14ac:dyDescent="0.25">
      <c r="B43" s="5"/>
      <c r="T43" s="5">
        <f t="shared" ref="T43:T52" si="3">A31</f>
        <v>867.92</v>
      </c>
      <c r="U43" s="58">
        <v>0.23219999999999999</v>
      </c>
      <c r="V43" s="5"/>
      <c r="W43" s="5"/>
      <c r="AB43">
        <v>328.82339999999999</v>
      </c>
      <c r="AC43">
        <f>AB43*AC42</f>
        <v>331.89403506917671</v>
      </c>
      <c r="AD43">
        <f>AC43*AD42</f>
        <v>332.22702355940066</v>
      </c>
      <c r="AE43">
        <f>AD43*AE42</f>
        <v>333.65232702948794</v>
      </c>
      <c r="AF43">
        <f>AE43*AF42</f>
        <v>337.3647475546137</v>
      </c>
    </row>
    <row r="44" spans="1:33" x14ac:dyDescent="0.25">
      <c r="A44" t="e">
        <f ca="1">'SIMUL SSGPI'!D31</f>
        <v>#N/A</v>
      </c>
      <c r="B44" s="58" t="e">
        <f ca="1">VLOOKUP(A44,A30:B40,2)</f>
        <v>#N/A</v>
      </c>
      <c r="T44" s="5">
        <f t="shared" si="3"/>
        <v>1108.3399999999999</v>
      </c>
      <c r="U44" s="58">
        <v>0.25230000000000002</v>
      </c>
      <c r="V44" s="5"/>
      <c r="W44" s="5"/>
      <c r="AB44">
        <v>371.3175</v>
      </c>
      <c r="AC44">
        <f>AB44*AC42</f>
        <v>374.78495559257345</v>
      </c>
      <c r="AD44">
        <f>AC44*AD42</f>
        <v>375.16097644059931</v>
      </c>
      <c r="AE44">
        <f>AD44*AE42</f>
        <v>376.77047297051212</v>
      </c>
      <c r="AF44">
        <f>AE44*AF42</f>
        <v>380.96265244538642</v>
      </c>
    </row>
    <row r="45" spans="1:33" x14ac:dyDescent="0.25">
      <c r="T45" s="5">
        <f t="shared" si="3"/>
        <v>1413.34</v>
      </c>
      <c r="U45" s="58">
        <v>0.30280000000000001</v>
      </c>
      <c r="V45" s="5"/>
      <c r="W45" s="5"/>
      <c r="AB45">
        <v>700.14089999999999</v>
      </c>
      <c r="AC45" s="58">
        <f>AC43+AC44</f>
        <v>706.67899066175016</v>
      </c>
      <c r="AD45" s="58">
        <v>707.38800000000003</v>
      </c>
      <c r="AE45">
        <v>710.42280000000005</v>
      </c>
      <c r="AF45">
        <v>718.32740000000001</v>
      </c>
    </row>
    <row r="46" spans="1:33" x14ac:dyDescent="0.25">
      <c r="T46" s="5">
        <f t="shared" si="3"/>
        <v>1695.01</v>
      </c>
      <c r="U46" s="58">
        <v>0.3533</v>
      </c>
      <c r="V46" s="5"/>
      <c r="W46" s="5"/>
      <c r="AF46" s="335" t="s">
        <v>205</v>
      </c>
      <c r="AG46" s="335"/>
    </row>
    <row r="47" spans="1:33" x14ac:dyDescent="0.25">
      <c r="T47" s="5">
        <f t="shared" si="3"/>
        <v>1918.34</v>
      </c>
      <c r="U47" s="58">
        <v>0.3836</v>
      </c>
      <c r="V47" s="5"/>
      <c r="W47" s="5"/>
      <c r="AA47">
        <v>2012</v>
      </c>
      <c r="AB47">
        <v>700.14089999999999</v>
      </c>
      <c r="AD47" s="60">
        <v>328.82339999999999</v>
      </c>
      <c r="AE47" s="60">
        <v>371.3175</v>
      </c>
    </row>
    <row r="48" spans="1:33" x14ac:dyDescent="0.25">
      <c r="T48" s="5">
        <f t="shared" si="3"/>
        <v>2142.5100000000002</v>
      </c>
      <c r="U48" s="58">
        <v>0.40379999999999999</v>
      </c>
      <c r="V48" s="5"/>
      <c r="W48" s="5"/>
      <c r="AA48">
        <v>2013</v>
      </c>
      <c r="AB48">
        <v>706.68259999999998</v>
      </c>
      <c r="AC48">
        <f>AB48/AB47</f>
        <v>1.0093434050203323</v>
      </c>
      <c r="AD48" s="60">
        <f>AD47*AC48</f>
        <v>331.89573020636271</v>
      </c>
      <c r="AE48" s="60">
        <f>AE47*AC48</f>
        <v>374.78686979363721</v>
      </c>
    </row>
    <row r="49" spans="20:37" x14ac:dyDescent="0.25">
      <c r="T49" s="5">
        <f t="shared" si="3"/>
        <v>2589.17</v>
      </c>
      <c r="U49" s="58">
        <v>0.43409999999999999</v>
      </c>
      <c r="V49" s="5"/>
      <c r="W49" s="5"/>
      <c r="AA49">
        <v>2014</v>
      </c>
      <c r="AB49" s="58">
        <v>707.38800000000003</v>
      </c>
      <c r="AC49">
        <f>AB49/AB48</f>
        <v>1.0009981850409222</v>
      </c>
      <c r="AD49" s="60">
        <f>AD48*AC49</f>
        <v>332.22702355940066</v>
      </c>
      <c r="AE49" s="60">
        <f>AE48*AC49</f>
        <v>375.16097644059926</v>
      </c>
    </row>
    <row r="50" spans="20:37" x14ac:dyDescent="0.25">
      <c r="T50" s="5">
        <f t="shared" si="3"/>
        <v>2817.51</v>
      </c>
      <c r="U50" s="58">
        <v>0.46439999999999998</v>
      </c>
      <c r="V50" s="5"/>
      <c r="W50" s="5"/>
      <c r="AA50">
        <v>2015</v>
      </c>
      <c r="AB50" s="58">
        <v>710.42280000000005</v>
      </c>
      <c r="AC50">
        <f>AB50/AB49</f>
        <v>1.0042901491119443</v>
      </c>
      <c r="AD50" s="60">
        <f>AD49*AC50</f>
        <v>333.65232702948794</v>
      </c>
      <c r="AE50" s="60">
        <f>AE49*AC50</f>
        <v>376.77047297051206</v>
      </c>
    </row>
    <row r="51" spans="20:37" x14ac:dyDescent="0.25">
      <c r="T51" s="5">
        <f t="shared" si="3"/>
        <v>3730.84</v>
      </c>
      <c r="U51" s="58">
        <v>0.51480000000000004</v>
      </c>
      <c r="V51" s="5"/>
      <c r="W51" s="5"/>
      <c r="AA51">
        <v>2016</v>
      </c>
      <c r="AB51" s="58">
        <v>718.32740000000001</v>
      </c>
      <c r="AC51">
        <f>AB51/AB50</f>
        <v>1.0111266136165675</v>
      </c>
      <c r="AD51" s="60">
        <v>337.36470000000003</v>
      </c>
      <c r="AE51" s="60">
        <f>AE50*AC51</f>
        <v>380.96265244538637</v>
      </c>
      <c r="AK51">
        <v>101.78</v>
      </c>
    </row>
    <row r="52" spans="20:37" x14ac:dyDescent="0.25">
      <c r="T52" s="5">
        <f t="shared" si="3"/>
        <v>4871.67</v>
      </c>
      <c r="U52" s="58">
        <v>0.53500000000000003</v>
      </c>
      <c r="V52" s="5"/>
      <c r="W52" s="5"/>
      <c r="AA52">
        <v>2017</v>
      </c>
      <c r="AB52" s="58">
        <v>730.81</v>
      </c>
      <c r="AD52" s="60">
        <f>ROUND(AD51*AK52/AK51,4)</f>
        <v>343.23160000000001</v>
      </c>
      <c r="AE52" s="60">
        <f>AE51*AK52/AK51</f>
        <v>387.58776440086223</v>
      </c>
      <c r="AK52">
        <v>103.55</v>
      </c>
    </row>
    <row r="53" spans="20:37" x14ac:dyDescent="0.25">
      <c r="U53" s="5"/>
      <c r="V53" s="5"/>
      <c r="W53" s="5"/>
      <c r="AA53">
        <v>2018</v>
      </c>
      <c r="AB53" s="58">
        <v>744.85</v>
      </c>
      <c r="AD53" s="60">
        <f>ROUND(AD52*AK53/AK52,4)</f>
        <v>349.82769999999999</v>
      </c>
      <c r="AE53" s="60">
        <f>AB53-AD53</f>
        <v>395.02230000000003</v>
      </c>
      <c r="AK53">
        <v>105.54</v>
      </c>
    </row>
    <row r="54" spans="20:37" x14ac:dyDescent="0.25">
      <c r="T54" t="s">
        <v>173</v>
      </c>
      <c r="U54" s="5"/>
      <c r="V54" s="5"/>
      <c r="W54" s="5"/>
      <c r="AA54">
        <v>2019</v>
      </c>
      <c r="AB54" s="58">
        <v>753.39</v>
      </c>
      <c r="AD54" s="60">
        <f>ROUND(AD53*AK54/AK53,4)</f>
        <v>353.83839999999998</v>
      </c>
      <c r="AE54" s="60">
        <f>AB54-AD54</f>
        <v>399.55160000000001</v>
      </c>
      <c r="AK54">
        <v>106.75</v>
      </c>
    </row>
    <row r="55" spans="20:37" x14ac:dyDescent="0.25">
      <c r="T55" t="e">
        <f>U4*U3*0.8895/12</f>
        <v>#N/A</v>
      </c>
      <c r="U55" s="5"/>
      <c r="V55" s="5"/>
      <c r="W55" s="5"/>
      <c r="AA55">
        <v>2020</v>
      </c>
      <c r="AB55">
        <f>ROUND(AB54*AK55/AK54,2)</f>
        <v>761.22</v>
      </c>
      <c r="AD55" s="60">
        <f>ROUND(353.8384*AK55/AK54,4)</f>
        <v>357.51769999999999</v>
      </c>
      <c r="AE55" s="60">
        <f>AB55-AD55</f>
        <v>403.70230000000004</v>
      </c>
      <c r="AF55">
        <v>357.51760000000002</v>
      </c>
      <c r="AG55">
        <v>403.70240000000001</v>
      </c>
      <c r="AK55">
        <v>107.86</v>
      </c>
    </row>
    <row r="56" spans="20:37" x14ac:dyDescent="0.25">
      <c r="T56" t="e">
        <f>AH5*U3/12</f>
        <v>#N/A</v>
      </c>
      <c r="U56" s="5"/>
      <c r="V56" s="5"/>
      <c r="W56" s="5"/>
      <c r="AA56">
        <v>2021</v>
      </c>
      <c r="AB56">
        <f>ROUND(AB55*AK56/AK55,2)</f>
        <v>780.06</v>
      </c>
      <c r="AD56">
        <f>ROUND(AD55*AK56/AK55,5)</f>
        <v>366.36779999999999</v>
      </c>
      <c r="AE56">
        <f>AB56-AD56</f>
        <v>413.69219999999996</v>
      </c>
      <c r="AF56">
        <v>366.36770000000001</v>
      </c>
      <c r="AG56">
        <v>413.69229999999999</v>
      </c>
      <c r="AK56">
        <v>110.53</v>
      </c>
    </row>
    <row r="57" spans="20:37" x14ac:dyDescent="0.25">
      <c r="T57" t="e">
        <f>T55+T56</f>
        <v>#N/A</v>
      </c>
      <c r="U57" s="58" t="e">
        <f>VLOOKUP(T57,T42:U52,2)</f>
        <v>#N/A</v>
      </c>
      <c r="V57" s="5"/>
      <c r="W57" s="5"/>
      <c r="AA57">
        <v>2022</v>
      </c>
      <c r="AB57">
        <f>ROUND(AB56*AK57/AK56,2)</f>
        <v>862.56</v>
      </c>
      <c r="AD57">
        <f>ROUND(AF56*AK57/AK56,5)</f>
        <v>405.11590000000001</v>
      </c>
      <c r="AE57">
        <f>AB57-AD57</f>
        <v>457.44409999999993</v>
      </c>
      <c r="AF57">
        <v>405.11579999999998</v>
      </c>
      <c r="AG57">
        <v>457.44420000000002</v>
      </c>
      <c r="AK57">
        <v>122.22</v>
      </c>
    </row>
    <row r="58" spans="20:37" x14ac:dyDescent="0.25">
      <c r="U58" s="5"/>
      <c r="V58" s="5"/>
      <c r="W58" s="5"/>
      <c r="AA58">
        <v>2023</v>
      </c>
      <c r="AB58">
        <f>FLOOR(AB57*AK58/AK57,0.01)</f>
        <v>886.76</v>
      </c>
      <c r="AD58">
        <f>ROUND(AF57*AK58/AK57,4)</f>
        <v>416.48500000000001</v>
      </c>
      <c r="AE58">
        <f>ROUND(AB58-AD58,4)</f>
        <v>470.27499999999998</v>
      </c>
      <c r="AK58">
        <v>125.65</v>
      </c>
    </row>
    <row r="59" spans="20:37" x14ac:dyDescent="0.25">
      <c r="AA59">
        <v>2024</v>
      </c>
      <c r="AB59">
        <f>FLOOR(AB58*AK59/AK58,0.01)</f>
        <v>918.37</v>
      </c>
      <c r="AD59">
        <f>ROUND(AD58*AK59/AK58,4)</f>
        <v>431.33460000000002</v>
      </c>
      <c r="AE59">
        <f>ROUND(AB59-AD59,4)</f>
        <v>487.03539999999998</v>
      </c>
      <c r="AK59">
        <v>130.13</v>
      </c>
    </row>
    <row r="60" spans="20:37" x14ac:dyDescent="0.25">
      <c r="AA60">
        <v>2025</v>
      </c>
      <c r="AB60">
        <f>FLOOR(AB59*AK60/AK59,0.01)</f>
        <v>937.56000000000006</v>
      </c>
      <c r="AD60">
        <f>ROUND(AD59*AK60/AK59,4)</f>
        <v>440.35039999999998</v>
      </c>
      <c r="AE60">
        <f>ROUND(AB60-AD60,4)</f>
        <v>497.20960000000002</v>
      </c>
      <c r="AK60">
        <v>132.85</v>
      </c>
    </row>
    <row r="61" spans="20:37" x14ac:dyDescent="0.25">
      <c r="AA61">
        <v>2026</v>
      </c>
      <c r="AB61">
        <f>FLOOR(AB60*AK61/AK60,0.01)</f>
        <v>937.56000000000006</v>
      </c>
      <c r="AD61">
        <f>ROUND(AD60*AK61/AK60,4)</f>
        <v>440.35039999999998</v>
      </c>
      <c r="AE61">
        <f>ROUND(AB61-AD61,4)</f>
        <v>497.20960000000002</v>
      </c>
      <c r="AK61">
        <f>AK60</f>
        <v>132.85</v>
      </c>
    </row>
  </sheetData>
  <sheetProtection algorithmName="SHA-512" hashValue="PzLBEeCq9MRfrzlgxECUJL0Z3byas+frmkfNcti3heoU/21ajk88MevWCJsWvugHEMqfPCMh0zujrflk8g+aNQ==" saltValue="c3N1ziBLWkmvUrow0ZQPzw==" spinCount="100000" sheet="1" objects="1" scenarios="1"/>
  <mergeCells count="26">
    <mergeCell ref="T29:W29"/>
    <mergeCell ref="AF46:AG46"/>
    <mergeCell ref="X7:X8"/>
    <mergeCell ref="C14:E15"/>
    <mergeCell ref="C17:E17"/>
    <mergeCell ref="I22:M22"/>
    <mergeCell ref="A20:B20"/>
    <mergeCell ref="C20:E21"/>
    <mergeCell ref="Y7:Y8"/>
    <mergeCell ref="T9:W9"/>
    <mergeCell ref="V10:V12"/>
    <mergeCell ref="A14:B14"/>
    <mergeCell ref="A3:B3"/>
    <mergeCell ref="A4:B4"/>
    <mergeCell ref="A5:B5"/>
    <mergeCell ref="T1:W2"/>
    <mergeCell ref="A11:B11"/>
    <mergeCell ref="C11:E12"/>
    <mergeCell ref="A1:E2"/>
    <mergeCell ref="I1:N2"/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8</vt:i4>
      </vt:variant>
    </vt:vector>
  </HeadingPairs>
  <TitlesOfParts>
    <vt:vector size="15" baseType="lpstr">
      <vt:lpstr>SIMUL</vt:lpstr>
      <vt:lpstr>SIMUL SSGPI</vt:lpstr>
      <vt:lpstr>BV</vt:lpstr>
      <vt:lpstr>Gegevenslijsten</vt:lpstr>
      <vt:lpstr>BBSZ</vt:lpstr>
      <vt:lpstr>Loonschalen</vt:lpstr>
      <vt:lpstr>Jaartoelagen</vt:lpstr>
      <vt:lpstr>SIMUL!Afdrukbereik</vt:lpstr>
      <vt:lpstr>'SIMUL SSGPI'!Afdrukbereik</vt:lpstr>
      <vt:lpstr>alleenst</vt:lpstr>
      <vt:lpstr>breuk</vt:lpstr>
      <vt:lpstr>gehuwdink</vt:lpstr>
      <vt:lpstr>gehuwdzink</vt:lpstr>
      <vt:lpstr>index</vt:lpstr>
      <vt:lpstr>minimum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</dc:creator>
  <cp:lastModifiedBy>Lampaert Pieter (SSGPI)</cp:lastModifiedBy>
  <cp:lastPrinted>2024-01-08T13:21:03Z</cp:lastPrinted>
  <dcterms:created xsi:type="dcterms:W3CDTF">2022-12-22T07:53:29Z</dcterms:created>
  <dcterms:modified xsi:type="dcterms:W3CDTF">2026-08-11T15:39:46Z</dcterms:modified>
</cp:coreProperties>
</file>