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GPI_User\AppData\Local\Microsoft\Windows\INetCache\Content.Outlook\32RBWELU\"/>
    </mc:Choice>
  </mc:AlternateContent>
  <xr:revisionPtr revIDLastSave="0" documentId="13_ncr:1_{F5D977EB-2CA2-4D47-BE5F-9624F42F8D6F}" xr6:coauthVersionLast="47" xr6:coauthVersionMax="47" xr10:uidLastSave="{00000000-0000-0000-0000-000000000000}"/>
  <workbookProtection workbookAlgorithmName="SHA-512" workbookHashValue="vRvaN0pdWTObWvIPJ/qNtjBNQDB5sUE36eWrPi6AsngfrJNQQFXOVf956pihMyHeTr1ktsGcw6LhEQSoS7pG7Q==" workbookSaltValue="j0myqu0RjDf9m6jbStAzaA==" workbookSpinCount="100000" lockStructure="1"/>
  <bookViews>
    <workbookView xWindow="-38520" yWindow="-120" windowWidth="38640" windowHeight="21120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Loonschalen" sheetId="7" state="hidden" r:id="rId6"/>
    <sheet name="Jaartoelagen" sheetId="8" state="hidden" r:id="rId7"/>
  </sheets>
  <definedNames>
    <definedName name="_xlnm.Print_Area" localSheetId="0">SIMUL!$EZ$70:$FD$123</definedName>
    <definedName name="_xlnm.Print_Area" localSheetId="1">'SIMUL SSGPI'!$A$1:$J$38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7" l="1"/>
  <c r="AG33" i="7"/>
  <c r="AG34" i="7" s="1"/>
  <c r="AF33" i="7"/>
  <c r="AE33" i="7"/>
  <c r="AE34" i="7" s="1"/>
  <c r="AD33" i="7"/>
  <c r="AD34" i="7" s="1"/>
  <c r="AC33" i="7"/>
  <c r="AC34" i="7" s="1"/>
  <c r="B5" i="6" l="1"/>
  <c r="AC7" i="4"/>
  <c r="AC6" i="4"/>
  <c r="AB6" i="4"/>
  <c r="AB7" i="4" s="1"/>
  <c r="Z6" i="4"/>
  <c r="Z7" i="4" s="1"/>
  <c r="Y6" i="4"/>
  <c r="Y7" i="4" s="1"/>
  <c r="W6" i="4"/>
  <c r="W7" i="4" s="1"/>
  <c r="AC5" i="4"/>
  <c r="AB5" i="4"/>
  <c r="AA5" i="4"/>
  <c r="AA6" i="4" s="1"/>
  <c r="AA7" i="4" s="1"/>
  <c r="Z5" i="4"/>
  <c r="X5" i="4"/>
  <c r="X6" i="4" s="1"/>
  <c r="X7" i="4" s="1"/>
  <c r="W5" i="4"/>
  <c r="A42" i="6"/>
  <c r="A39" i="6"/>
  <c r="FD78" i="6"/>
  <c r="FD79" i="6"/>
  <c r="B9" i="1"/>
  <c r="B42" i="1" s="1"/>
  <c r="C42" i="1" s="1"/>
  <c r="B8" i="1"/>
  <c r="A22" i="6"/>
  <c r="FB78" i="6" l="1"/>
  <c r="FA74" i="6" l="1"/>
  <c r="A41" i="6"/>
  <c r="FC84" i="6" l="1"/>
  <c r="U8" i="8"/>
  <c r="U7" i="8"/>
  <c r="AG59" i="8"/>
  <c r="AG58" i="8"/>
  <c r="AF59" i="8"/>
  <c r="AF58" i="8"/>
  <c r="Z2" i="1"/>
  <c r="EZ1" i="6" l="1"/>
  <c r="A24" i="6"/>
  <c r="A23" i="6"/>
  <c r="C15" i="6" l="1"/>
  <c r="C16" i="6"/>
  <c r="C10" i="6"/>
  <c r="C6" i="6"/>
  <c r="C7" i="6"/>
  <c r="A38" i="6"/>
  <c r="FC103" i="6"/>
  <c r="A37" i="6"/>
  <c r="A36" i="6"/>
  <c r="FC79" i="6"/>
  <c r="FA103" i="6"/>
  <c r="FA116" i="6"/>
  <c r="FA81" i="6"/>
  <c r="FA84" i="6"/>
  <c r="FA86" i="6"/>
  <c r="FC82" i="6"/>
  <c r="A10" i="6"/>
  <c r="FA109" i="6"/>
  <c r="A11" i="6"/>
  <c r="FA87" i="6"/>
  <c r="FA71" i="6"/>
  <c r="A2" i="6"/>
  <c r="FA107" i="6"/>
  <c r="FA101" i="6"/>
  <c r="FA112" i="6"/>
  <c r="FA114" i="6"/>
  <c r="FA83" i="6"/>
  <c r="FA82" i="6"/>
  <c r="FC78" i="6"/>
  <c r="FC77" i="6"/>
  <c r="FC76" i="6"/>
  <c r="FC75" i="6"/>
  <c r="FC74" i="6"/>
  <c r="FC73" i="6"/>
  <c r="FA78" i="6"/>
  <c r="FA77" i="6"/>
  <c r="FA76" i="6"/>
  <c r="FA73" i="6"/>
  <c r="FA72" i="6" s="1"/>
  <c r="I1" i="3"/>
  <c r="A4" i="6"/>
  <c r="C29" i="6"/>
  <c r="A33" i="6"/>
  <c r="A30" i="6"/>
  <c r="A29" i="6"/>
  <c r="A28" i="6"/>
  <c r="A25" i="6"/>
  <c r="A26" i="6"/>
  <c r="A21" i="6"/>
  <c r="A20" i="6"/>
  <c r="A19" i="6"/>
  <c r="B14" i="1"/>
  <c r="B5" i="1"/>
  <c r="E25" i="3" s="1"/>
  <c r="B6" i="1"/>
  <c r="B7" i="1"/>
  <c r="B40" i="1" s="1"/>
  <c r="B10" i="1"/>
  <c r="B11" i="1"/>
  <c r="B2" i="1"/>
  <c r="C38" i="1" s="1"/>
  <c r="B1" i="1"/>
  <c r="K14" i="3" l="1"/>
  <c r="A14" i="3" s="1"/>
  <c r="K16" i="3"/>
  <c r="A16" i="3" s="1"/>
  <c r="K17" i="3"/>
  <c r="K15" i="3"/>
  <c r="A15" i="3" s="1"/>
  <c r="T29" i="3"/>
  <c r="F28" i="3" s="1"/>
  <c r="C10" i="4" s="1"/>
  <c r="B43" i="1"/>
  <c r="K4" i="3"/>
  <c r="C5" i="3" s="1"/>
  <c r="K34" i="3"/>
  <c r="A34" i="3" s="1"/>
  <c r="K18" i="3"/>
  <c r="A18" i="3" s="1"/>
  <c r="K36" i="3"/>
  <c r="C31" i="3" s="1"/>
  <c r="K33" i="3"/>
  <c r="A33" i="3" s="1"/>
  <c r="K31" i="3"/>
  <c r="A31" i="3" s="1"/>
  <c r="K9" i="3"/>
  <c r="A9" i="3" s="1"/>
  <c r="K6" i="3"/>
  <c r="A6" i="3" s="1"/>
  <c r="K37" i="3"/>
  <c r="A37" i="3" s="1"/>
  <c r="K32" i="3"/>
  <c r="A32" i="3" s="1"/>
  <c r="K8" i="3"/>
  <c r="A8" i="3" s="1"/>
  <c r="K24" i="3"/>
  <c r="K40" i="3"/>
  <c r="A40" i="3" s="1"/>
  <c r="K25" i="3"/>
  <c r="A25" i="3" s="1"/>
  <c r="K7" i="3"/>
  <c r="A7" i="3" s="1"/>
  <c r="T28" i="3"/>
  <c r="C9" i="4" s="1"/>
  <c r="K30" i="3"/>
  <c r="K13" i="3"/>
  <c r="K29" i="3"/>
  <c r="K23" i="3"/>
  <c r="A23" i="3" s="1"/>
  <c r="K5" i="3"/>
  <c r="A5" i="3" s="1"/>
  <c r="K20" i="3"/>
  <c r="K28" i="3"/>
  <c r="A28" i="3" s="1"/>
  <c r="K22" i="3"/>
  <c r="A22" i="3" s="1"/>
  <c r="K12" i="3"/>
  <c r="A12" i="3" s="1"/>
  <c r="K3" i="3"/>
  <c r="A3" i="3" s="1"/>
  <c r="K27" i="3"/>
  <c r="K1" i="3"/>
  <c r="A1" i="3" s="1"/>
  <c r="K21" i="3"/>
  <c r="A21" i="3" s="1"/>
  <c r="K11" i="3"/>
  <c r="A11" i="3" s="1"/>
  <c r="K2" i="3"/>
  <c r="A2" i="3" s="1"/>
  <c r="B9" i="4"/>
  <c r="K41" i="3"/>
  <c r="A41" i="3" s="1"/>
  <c r="K35" i="3"/>
  <c r="A35" i="3" s="1"/>
  <c r="K19" i="3"/>
  <c r="A19" i="3" s="1"/>
  <c r="K10" i="3"/>
  <c r="A10" i="3" s="1"/>
  <c r="T30" i="3"/>
  <c r="G28" i="3" s="1"/>
  <c r="D10" i="4" s="1"/>
  <c r="C25" i="3"/>
  <c r="A15" i="6"/>
  <c r="A16" i="6"/>
  <c r="A14" i="6"/>
  <c r="A1" i="4"/>
  <c r="B15" i="4" s="1"/>
  <c r="E7" i="6"/>
  <c r="A8" i="6"/>
  <c r="A7" i="6"/>
  <c r="A6" i="6"/>
  <c r="A5" i="6"/>
  <c r="A3" i="6"/>
  <c r="N3" i="2"/>
  <c r="G51" i="2" l="1"/>
  <c r="A51" i="2" s="1"/>
  <c r="G50" i="2"/>
  <c r="A50" i="2" s="1"/>
  <c r="O43" i="2"/>
  <c r="A43" i="2" s="1"/>
  <c r="O44" i="2"/>
  <c r="A44" i="2" s="1"/>
  <c r="O45" i="2"/>
  <c r="A45" i="2" s="1"/>
  <c r="O46" i="2"/>
  <c r="A46" i="2" s="1"/>
  <c r="O47" i="2"/>
  <c r="A47" i="2" s="1"/>
  <c r="A26" i="2"/>
  <c r="A29" i="3"/>
  <c r="D25" i="3"/>
  <c r="O12" i="2"/>
  <c r="A12" i="2" s="1"/>
  <c r="O10" i="2"/>
  <c r="A10" i="2" s="1"/>
  <c r="O13" i="2"/>
  <c r="A13" i="2" s="1"/>
  <c r="O3" i="2"/>
  <c r="A3" i="2" s="1"/>
  <c r="R35" i="2"/>
  <c r="A35" i="2" s="1"/>
  <c r="O14" i="2"/>
  <c r="A14" i="2" s="1"/>
  <c r="O4" i="2"/>
  <c r="A4" i="2" s="1"/>
  <c r="O15" i="2"/>
  <c r="A15" i="2" s="1"/>
  <c r="O5" i="2"/>
  <c r="A5" i="2" s="1"/>
  <c r="O18" i="2"/>
  <c r="A18" i="2" s="1"/>
  <c r="O16" i="2"/>
  <c r="A16" i="2" s="1"/>
  <c r="O6" i="2"/>
  <c r="A6" i="2" s="1"/>
  <c r="O17" i="2"/>
  <c r="A17" i="2" s="1"/>
  <c r="O7" i="2"/>
  <c r="A7" i="2" s="1"/>
  <c r="O2" i="2"/>
  <c r="N26" i="2"/>
  <c r="A23" i="2"/>
  <c r="N3" i="1"/>
  <c r="A27" i="2"/>
  <c r="D4" i="2"/>
  <c r="B14" i="4"/>
  <c r="D3" i="2"/>
  <c r="A22" i="2"/>
  <c r="D10" i="6" l="1"/>
  <c r="B11" i="6" s="1"/>
  <c r="B7" i="3" s="1"/>
  <c r="E8" i="4"/>
  <c r="A2" i="2"/>
  <c r="B40" i="4" l="1"/>
  <c r="B86" i="4" l="1"/>
  <c r="G71" i="4"/>
  <c r="C63" i="4"/>
  <c r="C64" i="4"/>
  <c r="E71" i="4"/>
  <c r="F71" i="4" s="1"/>
  <c r="E69" i="4"/>
  <c r="B74" i="4"/>
  <c r="G66" i="4"/>
  <c r="H71" i="4" l="1"/>
  <c r="B79" i="4" s="1"/>
  <c r="F63" i="4"/>
  <c r="C65" i="4" s="1"/>
  <c r="F62" i="4"/>
  <c r="F64" i="4" s="1"/>
  <c r="B75" i="4"/>
  <c r="B84" i="4"/>
  <c r="B2" i="4"/>
  <c r="E2" i="4" s="1"/>
  <c r="AD19" i="3" s="1"/>
  <c r="L4" i="2"/>
  <c r="AG19" i="3" l="1"/>
  <c r="AH19" i="3"/>
  <c r="AF19" i="3"/>
  <c r="E19" i="3" s="1"/>
  <c r="AJ19" i="3"/>
  <c r="AI19" i="3"/>
  <c r="AE19" i="3"/>
  <c r="AK19" i="3"/>
  <c r="E20" i="3" s="1"/>
  <c r="G64" i="4"/>
  <c r="C66" i="4" s="1"/>
  <c r="B76" i="4" s="1"/>
  <c r="B3" i="4"/>
  <c r="L5" i="2" l="1"/>
  <c r="L6" i="2" s="1"/>
  <c r="L7" i="2" s="1"/>
  <c r="FB84" i="6"/>
  <c r="FB82" i="6"/>
  <c r="FD73" i="6"/>
  <c r="FD77" i="6"/>
  <c r="FB77" i="6" s="1"/>
  <c r="FD76" i="6"/>
  <c r="FD75" i="6"/>
  <c r="FD74" i="6"/>
  <c r="FB76" i="6"/>
  <c r="FB73" i="6"/>
  <c r="AC43" i="8"/>
  <c r="AF42" i="8"/>
  <c r="AE42" i="8"/>
  <c r="AC42" i="8"/>
  <c r="AC44" i="8" s="1"/>
  <c r="AB42" i="8"/>
  <c r="AA10" i="8"/>
  <c r="AA8" i="8"/>
  <c r="V23" i="8"/>
  <c r="V22" i="8"/>
  <c r="A40" i="8"/>
  <c r="A39" i="8"/>
  <c r="A38" i="8"/>
  <c r="A37" i="8"/>
  <c r="A36" i="8"/>
  <c r="A35" i="8"/>
  <c r="A34" i="8"/>
  <c r="A33" i="8"/>
  <c r="A32" i="8"/>
  <c r="A31" i="8"/>
  <c r="M21" i="8"/>
  <c r="N21" i="8" s="1"/>
  <c r="M20" i="8"/>
  <c r="N20" i="8" s="1"/>
  <c r="M19" i="8"/>
  <c r="N19" i="8" s="1"/>
  <c r="M18" i="8"/>
  <c r="N18" i="8" s="1"/>
  <c r="D8" i="8"/>
  <c r="M7" i="8"/>
  <c r="N7" i="8" s="1"/>
  <c r="L7" i="8"/>
  <c r="L8" i="8" s="1"/>
  <c r="L9" i="8" s="1"/>
  <c r="M6" i="8"/>
  <c r="N6" i="8" s="1"/>
  <c r="C21" i="3"/>
  <c r="D48" i="7"/>
  <c r="C48" i="7"/>
  <c r="AD43" i="8" l="1"/>
  <c r="AE43" i="8" s="1"/>
  <c r="AF43" i="8" s="1"/>
  <c r="AC45" i="8"/>
  <c r="AD42" i="8" s="1"/>
  <c r="AD44" i="8" s="1"/>
  <c r="AE44" i="8" s="1"/>
  <c r="AF44" i="8" s="1"/>
  <c r="L10" i="8"/>
  <c r="M9" i="8"/>
  <c r="N9" i="8" s="1"/>
  <c r="M8" i="8"/>
  <c r="N8" i="8" s="1"/>
  <c r="D5" i="3"/>
  <c r="N7" i="4"/>
  <c r="O7" i="4" s="1"/>
  <c r="O6" i="4"/>
  <c r="O5" i="4"/>
  <c r="P35" i="7"/>
  <c r="Q35" i="7"/>
  <c r="R35" i="7"/>
  <c r="S35" i="7"/>
  <c r="T35" i="7"/>
  <c r="U35" i="7"/>
  <c r="V35" i="7"/>
  <c r="W35" i="7"/>
  <c r="BE37" i="7"/>
  <c r="BF37" i="7"/>
  <c r="BE35" i="7"/>
  <c r="BF35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37" i="7"/>
  <c r="C1" i="7"/>
  <c r="D1" i="7"/>
  <c r="E1" i="7"/>
  <c r="F1" i="7"/>
  <c r="G1" i="7"/>
  <c r="H1" i="7"/>
  <c r="I1" i="7"/>
  <c r="J1" i="7"/>
  <c r="K1" i="7"/>
  <c r="L1" i="7"/>
  <c r="M1" i="7"/>
  <c r="N1" i="7"/>
  <c r="O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1" i="7"/>
  <c r="B20" i="4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E47" i="7" l="1"/>
  <c r="G47" i="7"/>
  <c r="D47" i="7"/>
  <c r="F47" i="7"/>
  <c r="C47" i="7"/>
  <c r="W3" i="8" s="1"/>
  <c r="H47" i="7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M10" i="8"/>
  <c r="N10" i="8" s="1"/>
  <c r="L11" i="8"/>
  <c r="AB3" i="3"/>
  <c r="C9" i="8" l="1"/>
  <c r="U14" i="8" s="1"/>
  <c r="W8" i="8" s="1"/>
  <c r="O8" i="4"/>
  <c r="L12" i="8"/>
  <c r="M11" i="8"/>
  <c r="N11" i="8" s="1"/>
  <c r="O9" i="4"/>
  <c r="C49" i="7"/>
  <c r="V7" i="8" l="1"/>
  <c r="C6" i="8"/>
  <c r="U6" i="8" s="1"/>
  <c r="M12" i="8"/>
  <c r="N12" i="8" s="1"/>
  <c r="L13" i="8"/>
  <c r="O10" i="4"/>
  <c r="B41" i="1"/>
  <c r="M1" i="1"/>
  <c r="C3" i="4"/>
  <c r="C4" i="4" s="1"/>
  <c r="C17" i="6" l="1"/>
  <c r="C18" i="6"/>
  <c r="D7" i="6"/>
  <c r="B4" i="1"/>
  <c r="C4" i="1" s="1"/>
  <c r="H4" i="1" s="1"/>
  <c r="B3" i="1"/>
  <c r="A15" i="1"/>
  <c r="A18" i="6"/>
  <c r="A3" i="1"/>
  <c r="A17" i="6"/>
  <c r="M11" i="1"/>
  <c r="L14" i="8"/>
  <c r="M13" i="8"/>
  <c r="N13" i="8" s="1"/>
  <c r="M8" i="1"/>
  <c r="M6" i="1"/>
  <c r="O11" i="4"/>
  <c r="B35" i="1"/>
  <c r="M38" i="1" s="1"/>
  <c r="A4" i="1"/>
  <c r="C36" i="1"/>
  <c r="C3" i="1" l="1"/>
  <c r="H3" i="1" s="1"/>
  <c r="H5" i="1" s="1"/>
  <c r="FB83" i="6"/>
  <c r="M3" i="1"/>
  <c r="C26" i="3"/>
  <c r="E18" i="6"/>
  <c r="AA13" i="8"/>
  <c r="U13" i="8" s="1"/>
  <c r="L15" i="8"/>
  <c r="M14" i="8"/>
  <c r="N14" i="8" s="1"/>
  <c r="C37" i="1"/>
  <c r="O12" i="4"/>
  <c r="C35" i="1"/>
  <c r="E17" i="6" l="1"/>
  <c r="C32" i="1"/>
  <c r="C31" i="1"/>
  <c r="C33" i="1"/>
  <c r="C34" i="1"/>
  <c r="FD82" i="6"/>
  <c r="M15" i="8"/>
  <c r="N15" i="8" s="1"/>
  <c r="L16" i="8"/>
  <c r="O13" i="4"/>
  <c r="D8" i="6"/>
  <c r="B5" i="3" s="1"/>
  <c r="D14" i="4"/>
  <c r="E14" i="4"/>
  <c r="E15" i="4"/>
  <c r="D15" i="4"/>
  <c r="C40" i="1" l="1"/>
  <c r="B38" i="1"/>
  <c r="C43" i="1"/>
  <c r="B80" i="4"/>
  <c r="C4" i="8"/>
  <c r="U4" i="8" s="1"/>
  <c r="M16" i="8"/>
  <c r="N16" i="8" s="1"/>
  <c r="L17" i="8"/>
  <c r="B40" i="3"/>
  <c r="B41" i="3"/>
  <c r="O14" i="4"/>
  <c r="B17" i="4"/>
  <c r="K41" i="1" l="1"/>
  <c r="C41" i="1" s="1"/>
  <c r="B81" i="4"/>
  <c r="B82" i="4" s="1"/>
  <c r="B85" i="4" s="1"/>
  <c r="N25" i="8"/>
  <c r="M17" i="8"/>
  <c r="N17" i="8" s="1"/>
  <c r="N22" i="8" s="1"/>
  <c r="L25" i="8"/>
  <c r="M25" i="8" s="1"/>
  <c r="O15" i="4"/>
  <c r="C5" i="8" l="1"/>
  <c r="U5" i="8" s="1"/>
  <c r="O16" i="4"/>
  <c r="O17" i="4" l="1"/>
  <c r="O18" i="4" l="1"/>
  <c r="O19" i="4" l="1"/>
  <c r="O20" i="4" l="1"/>
  <c r="O21" i="4" l="1"/>
  <c r="O22" i="4" l="1"/>
  <c r="O23" i="4" l="1"/>
  <c r="O24" i="4" l="1"/>
  <c r="O25" i="4" l="1"/>
  <c r="O26" i="4" l="1"/>
  <c r="O27" i="4" l="1"/>
  <c r="O28" i="4" l="1"/>
  <c r="O29" i="4" l="1"/>
  <c r="O30" i="4" l="1"/>
  <c r="O31" i="4" l="1"/>
  <c r="O32" i="4" l="1"/>
  <c r="O33" i="4" l="1"/>
  <c r="O34" i="4" l="1"/>
  <c r="O35" i="4" l="1"/>
  <c r="O36" i="4" l="1"/>
  <c r="O37" i="4" l="1"/>
  <c r="O38" i="4" l="1"/>
  <c r="O39" i="4" l="1"/>
  <c r="O40" i="4" l="1"/>
  <c r="O41" i="4" l="1"/>
  <c r="D2" i="4" s="1"/>
  <c r="D4" i="6" l="1"/>
  <c r="FD84" i="6" s="1"/>
  <c r="B16" i="3"/>
  <c r="B10" i="3"/>
  <c r="B19" i="3" s="1"/>
  <c r="E6" i="3"/>
  <c r="E5" i="3"/>
  <c r="FB87" i="6" s="1"/>
  <c r="B41" i="4"/>
  <c r="B42" i="4" s="1"/>
  <c r="B3" i="3"/>
  <c r="C10" i="3" s="1"/>
  <c r="O42" i="4"/>
  <c r="B24" i="4" l="1"/>
  <c r="C3" i="8"/>
  <c r="B11" i="3"/>
  <c r="O43" i="4"/>
  <c r="B21" i="3" l="1"/>
  <c r="FD103" i="6" s="1"/>
  <c r="AA9" i="8"/>
  <c r="AA11" i="8" s="1"/>
  <c r="B15" i="8"/>
  <c r="D5" i="8"/>
  <c r="D4" i="8"/>
  <c r="U3" i="8"/>
  <c r="U12" i="8" s="1"/>
  <c r="D6" i="8"/>
  <c r="C26" i="4"/>
  <c r="C27" i="4"/>
  <c r="D7" i="8"/>
  <c r="O44" i="4"/>
  <c r="B23" i="3" l="1"/>
  <c r="B25" i="3" s="1"/>
  <c r="C19" i="3"/>
  <c r="F20" i="3" s="1"/>
  <c r="B41" i="6" s="1"/>
  <c r="D41" i="6" s="1"/>
  <c r="FB101" i="6"/>
  <c r="V5" i="8"/>
  <c r="U11" i="8"/>
  <c r="T55" i="8"/>
  <c r="T56" i="8"/>
  <c r="U10" i="8"/>
  <c r="V4" i="8"/>
  <c r="V6" i="8"/>
  <c r="C11" i="8"/>
  <c r="C14" i="8" s="1"/>
  <c r="O45" i="4"/>
  <c r="B28" i="3" l="1"/>
  <c r="E11" i="4" s="1"/>
  <c r="D11" i="4" s="1"/>
  <c r="F19" i="3"/>
  <c r="B39" i="6" s="1"/>
  <c r="D39" i="6" s="1"/>
  <c r="B42" i="6" s="1"/>
  <c r="FB103" i="6"/>
  <c r="W11" i="8"/>
  <c r="W12" i="8" s="1"/>
  <c r="U18" i="8" s="1"/>
  <c r="T57" i="8"/>
  <c r="U57" i="8" s="1"/>
  <c r="W7" i="8"/>
  <c r="Y7" i="8" s="1"/>
  <c r="C24" i="4"/>
  <c r="D24" i="4" s="1"/>
  <c r="O46" i="4"/>
  <c r="E29" i="3" l="1"/>
  <c r="C11" i="4"/>
  <c r="F29" i="3"/>
  <c r="B11" i="4"/>
  <c r="B29" i="3" s="1"/>
  <c r="FB112" i="6" s="1"/>
  <c r="H29" i="3"/>
  <c r="G29" i="3" s="1"/>
  <c r="U17" i="8"/>
  <c r="W16" i="8"/>
  <c r="W18" i="8" s="1"/>
  <c r="B15" i="1"/>
  <c r="B17" i="1"/>
  <c r="B18" i="1" s="1"/>
  <c r="O47" i="4"/>
  <c r="W17" i="8" l="1"/>
  <c r="W19" i="8" s="1"/>
  <c r="U19" i="8"/>
  <c r="U20" i="8" s="1"/>
  <c r="D31" i="3"/>
  <c r="A44" i="8" s="1"/>
  <c r="B44" i="8" s="1"/>
  <c r="B17" i="8" s="1"/>
  <c r="C17" i="8" s="1"/>
  <c r="C20" i="8" s="1"/>
  <c r="B29" i="6" s="1"/>
  <c r="C52" i="1"/>
  <c r="O48" i="4"/>
  <c r="W20" i="8" l="1"/>
  <c r="B30" i="6" s="1"/>
  <c r="FB107" i="6"/>
  <c r="B32" i="3"/>
  <c r="C45" i="1"/>
  <c r="O49" i="4"/>
  <c r="B21" i="1" l="1"/>
  <c r="F44" i="1" s="1"/>
  <c r="B44" i="1" s="1"/>
  <c r="C44" i="1" s="1"/>
  <c r="B33" i="3"/>
  <c r="O50" i="4"/>
  <c r="C26" i="1" l="1"/>
  <c r="C27" i="1"/>
  <c r="C24" i="1"/>
  <c r="C25" i="1"/>
  <c r="C20" i="1"/>
  <c r="O52" i="4"/>
  <c r="O51" i="4"/>
  <c r="C21" i="1" l="1"/>
  <c r="G44" i="1" s="1"/>
  <c r="C28" i="1"/>
  <c r="M4" i="1"/>
  <c r="D27" i="1" l="1"/>
  <c r="D25" i="1"/>
  <c r="D26" i="1"/>
  <c r="D24" i="1"/>
  <c r="C39" i="1"/>
  <c r="C46" i="1" s="1"/>
  <c r="C49" i="1" s="1"/>
  <c r="D28" i="1" l="1"/>
  <c r="C48" i="1" s="1"/>
  <c r="C50" i="1" s="1"/>
  <c r="C51" i="1" s="1"/>
  <c r="B31" i="3" s="1"/>
  <c r="B35" i="3" s="1"/>
  <c r="B37" i="3" s="1"/>
  <c r="FB109" i="6" l="1"/>
  <c r="B28" i="6" l="1"/>
  <c r="FC114" i="6"/>
</calcChain>
</file>

<file path=xl/sharedStrings.xml><?xml version="1.0" encoding="utf-8"?>
<sst xmlns="http://schemas.openxmlformats.org/spreadsheetml/2006/main" count="459" uniqueCount="371">
  <si>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</si>
  <si>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</si>
  <si>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</si>
  <si>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</si>
  <si>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</si>
  <si>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</si>
  <si>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</si>
  <si>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</si>
  <si>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</si>
  <si>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</si>
  <si>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</si>
  <si>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</si>
  <si>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</si>
  <si>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</si>
  <si>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</si>
  <si>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</si>
  <si>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</si>
  <si>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</si>
  <si>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</si>
  <si>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</si>
  <si>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</si>
  <si>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</si>
  <si>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personen ouder dan 65 jaar heeft u ten laste?</t>
  </si>
  <si>
    <t>Hoeveel andere personen heeft u ten laste?</t>
  </si>
  <si>
    <t>Hoeveel van deze personen ouder dan 65 jaar zijn mindervalide?</t>
  </si>
  <si>
    <t>Hoeveel van deze andere personen zijn mindervalide?</t>
  </si>
  <si>
    <t>ouder dan 65 ten laste</t>
  </si>
  <si>
    <t>ouder dan 65 en MV ten laste</t>
  </si>
  <si>
    <t>anderen ten laste</t>
  </si>
  <si>
    <t>totaal verminderingen</t>
  </si>
  <si>
    <t>totaal vermindering</t>
  </si>
  <si>
    <t>verschuldigde belasting</t>
  </si>
  <si>
    <t>verschuldigde belasting / maand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</si>
  <si>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</si>
  <si>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</si>
  <si>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</si>
  <si>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</si>
  <si>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</si>
  <si>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</si>
  <si>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</si>
  <si>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</si>
  <si>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</si>
  <si>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</si>
  <si>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</si>
  <si>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</si>
  <si>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</si>
  <si>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</si>
  <si>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</si>
  <si>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</si>
  <si>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>Belastbare wedde</t>
  </si>
  <si>
    <t>BBSZ</t>
  </si>
  <si>
    <t>Basis BBSZ</t>
  </si>
  <si>
    <t>bedrijfsvoorheffing wedde</t>
  </si>
  <si>
    <t>vermindering 3</t>
  </si>
  <si>
    <t>aangerekende BV wedde</t>
  </si>
  <si>
    <t>netto</t>
  </si>
  <si>
    <t>mandaat</t>
  </si>
  <si>
    <t xml:space="preserve">Type: </t>
  </si>
  <si>
    <t>Totaal FOP</t>
  </si>
  <si>
    <t>Totaal Bruto wedde en toelagen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</si>
  <si>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</si>
  <si>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</si>
  <si>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</si>
  <si>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</si>
  <si>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</si>
  <si>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</si>
  <si>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</si>
  <si>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</si>
  <si>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</si>
  <si>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</si>
  <si>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</si>
  <si>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</si>
  <si>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</si>
  <si>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</si>
  <si>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</si>
  <si>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</si>
  <si>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</si>
  <si>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</si>
  <si>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</si>
  <si>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</si>
  <si>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</si>
  <si>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</si>
  <si>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</si>
  <si>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</si>
  <si>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</si>
  <si>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</si>
  <si>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</si>
  <si>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</si>
  <si>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</si>
  <si>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</si>
  <si>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</si>
  <si>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</si>
  <si>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</si>
  <si>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</si>
  <si>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</si>
  <si>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</si>
  <si>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</si>
  <si>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</si>
  <si>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</si>
  <si>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</si>
  <si>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</si>
  <si>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</si>
  <si>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</si>
  <si>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</si>
  <si>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</si>
  <si>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</si>
  <si>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</si>
  <si>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</si>
  <si>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</si>
  <si>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</si>
  <si>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</si>
  <si>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</si>
  <si>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</si>
  <si>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</si>
  <si>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</si>
  <si>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</si>
  <si>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</si>
  <si>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</si>
  <si>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</si>
  <si>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</si>
  <si>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</si>
  <si>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</si>
  <si>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</si>
  <si>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</si>
  <si>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</si>
  <si>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</si>
  <si>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toelage SAT</t>
  </si>
  <si>
    <t>V-Shape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</si>
  <si>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</si>
  <si>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</si>
  <si>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</si>
  <si>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</si>
  <si>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</si>
  <si>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</si>
  <si>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</si>
  <si>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</si>
  <si>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</si>
  <si>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</si>
  <si>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</si>
  <si>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</si>
  <si>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</si>
  <si>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</si>
  <si>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</si>
  <si>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</si>
  <si>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</si>
  <si>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</si>
  <si>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</si>
  <si>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</si>
  <si>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</si>
  <si>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</si>
  <si>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</si>
  <si>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</si>
  <si>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</si>
  <si>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</si>
  <si>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</si>
  <si>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</si>
  <si>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</si>
  <si>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</si>
  <si>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</si>
  <si>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</si>
  <si>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</si>
  <si>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</si>
  <si>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</si>
  <si>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</si>
  <si>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</si>
  <si>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</si>
  <si>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</si>
  <si>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</si>
  <si>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</si>
  <si>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</si>
  <si>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</si>
  <si>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</si>
  <si>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</si>
  <si>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</si>
  <si>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</si>
  <si>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</si>
  <si>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</si>
  <si>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</si>
  <si>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</si>
  <si>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</si>
  <si>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</si>
  <si>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</si>
  <si>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</si>
  <si>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</si>
  <si>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</si>
  <si>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</si>
  <si>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</si>
  <si>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</si>
  <si>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</si>
  <si>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</si>
  <si>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</si>
  <si>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</si>
  <si>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</si>
  <si>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</si>
  <si>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</si>
  <si>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</si>
  <si>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</si>
  <si>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</si>
  <si>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</si>
  <si>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</si>
  <si>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</si>
  <si>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</si>
  <si>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</si>
  <si>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</si>
  <si>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</si>
  <si>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</si>
  <si>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</si>
  <si>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</si>
  <si>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</si>
  <si>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</si>
  <si>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</si>
  <si>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</si>
  <si>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</si>
  <si>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</si>
  <si>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</si>
  <si>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</si>
  <si>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</si>
  <si>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</si>
  <si>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</si>
  <si>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</si>
  <si>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Type mandaat</t>
  </si>
  <si>
    <t>Trapberekening</t>
  </si>
  <si>
    <t>Wedden -
toelagen -
 vergoedingen</t>
  </si>
  <si>
    <t>=&gt; Blokkering index T&amp;V van 01/02/2002 tem 31/12/2003</t>
  </si>
  <si>
    <t>neen</t>
  </si>
  <si>
    <t>Waarde dienstvoertuig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</si>
  <si>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</si>
  <si>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</si>
  <si>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</si>
  <si>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</si>
  <si>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</si>
  <si>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</si>
  <si>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</si>
  <si>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</si>
  <si>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</si>
  <si>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</si>
  <si>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</si>
  <si>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</si>
  <si>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</si>
  <si>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</si>
  <si>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</si>
  <si>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</si>
  <si>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</si>
  <si>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</si>
  <si>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</si>
  <si>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</si>
  <si>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</si>
  <si>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</si>
  <si>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</si>
  <si>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</si>
  <si>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</si>
  <si>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</si>
  <si>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</si>
  <si>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</si>
  <si>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</si>
  <si>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</si>
  <si>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</si>
  <si>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Nederlands</t>
  </si>
  <si>
    <t>Français</t>
  </si>
  <si>
    <t>Allocation de résidence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</si>
  <si>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</si>
  <si>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</si>
  <si>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</si>
  <si>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</si>
  <si>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En cohabitation de fait</t>
  </si>
  <si>
    <t>Veuf/veuve</t>
  </si>
  <si>
    <t>Revenus du/de la partenaire</t>
  </si>
  <si>
    <t>Le/la partenaire n'a PAS de revenus propres</t>
  </si>
  <si>
    <t>Type de mandat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</si>
  <si>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</si>
  <si>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</si>
  <si>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</si>
  <si>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</si>
  <si>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</si>
  <si>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</si>
  <si>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</si>
  <si>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</si>
  <si>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</si>
  <si>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</si>
  <si>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</si>
  <si>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</si>
  <si>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</si>
  <si>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</si>
  <si>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</si>
  <si>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</si>
  <si>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</si>
  <si>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</si>
  <si>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</si>
  <si>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</si>
  <si>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</si>
  <si>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</si>
  <si>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</si>
  <si>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</si>
  <si>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</si>
  <si>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</si>
  <si>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</si>
  <si>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Net</t>
  </si>
  <si>
    <t>Allocation de foyer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</si>
  <si>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</si>
  <si>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</si>
  <si>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</si>
  <si>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</si>
  <si>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</si>
  <si>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</si>
  <si>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</si>
  <si>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</si>
  <si>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</si>
  <si>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</si>
  <si>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</si>
  <si>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</si>
  <si>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</si>
  <si>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</si>
  <si>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</si>
  <si>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</si>
  <si>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</si>
  <si>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</si>
  <si>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</si>
  <si>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Séparé(e)</t>
  </si>
  <si>
    <t>Isolé(e)</t>
  </si>
  <si>
    <t>echtg zonder inkomsten of pensioen &lt; 165 net/maand</t>
  </si>
  <si>
    <t>tot 15830</t>
  </si>
  <si>
    <t>van 15830,01 tot 27940</t>
  </si>
  <si>
    <t>van 27940,01 tot 48350</t>
  </si>
  <si>
    <t>hoger dan 48350</t>
  </si>
  <si>
    <t>Ouder dan 65 en zorgbehoevend</t>
  </si>
  <si>
    <t>echtg beroepsinkomsten &lt;275 euro net / maand</t>
  </si>
  <si>
    <t>echtg alleen pensioen &gt;165 maar ≤548 net/maand</t>
  </si>
  <si>
    <t>Partner heeft pers. Inkomsten ≤275 euro netto / maand</t>
  </si>
  <si>
    <t>Partner heeft pers. Inkomsten van &gt;275 euro netto / maand</t>
  </si>
  <si>
    <t>Partner heeft een pensioen ≤165 euro netto / maand</t>
  </si>
  <si>
    <t>Partner heeft een pensioen &gt;165 euro maar ≤548 euro netto /maand</t>
  </si>
  <si>
    <t>Partner heeft een pensioen van &gt;548 euro netto per maand</t>
  </si>
  <si>
    <t>Le/la partenaire a des revenus ≤275 euros nets/mois</t>
  </si>
  <si>
    <t>Le/la partenaire a des revenus &gt;275 euros nets/mois</t>
  </si>
  <si>
    <t>Le/la partenaire a une pension ≤165 euros nets/mois</t>
  </si>
  <si>
    <t>Le/la partenaire a une pension &gt;165 euros mais ≤548 euros nets/mois</t>
  </si>
  <si>
    <t>Le/la partenaire a une pension &gt;548 euros nets/mois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</si>
  <si>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</si>
  <si>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</si>
  <si>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</si>
  <si>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</si>
  <si>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bijzondere vermindering voor pensioen</t>
  </si>
  <si>
    <t>Dienstjaren</t>
  </si>
  <si>
    <t>&gt;20 dienstjaren maar &lt;36 dienstjaren</t>
  </si>
  <si>
    <t>&gt;36 dienstjaren maar &lt;37 dienstjaren</t>
  </si>
  <si>
    <t>&gt;37 dienstjaren maar &lt;37,5 dienstjaren</t>
  </si>
  <si>
    <t>&gt;37,5 dienstjaren</t>
  </si>
  <si>
    <t>Années de service</t>
  </si>
  <si>
    <t>&gt;20 années de service mais &lt;36 années de service</t>
  </si>
  <si>
    <t>&gt;36 années de service mais &lt;37 années de service</t>
  </si>
  <si>
    <t>&gt;37 années de service mais &lt;37,5 années de service</t>
  </si>
  <si>
    <t>Hoeveel van deze personen ouder dan 65 jaar zijn zorgbehoevend?</t>
  </si>
  <si>
    <t xml:space="preserve"> </t>
  </si>
  <si>
    <t>Lokale politie</t>
  </si>
  <si>
    <t>Police locale</t>
  </si>
  <si>
    <t>Federale politie</t>
  </si>
  <si>
    <t>Police fédérale</t>
  </si>
  <si>
    <t>patronale bijdragen</t>
  </si>
  <si>
    <t>jaar</t>
  </si>
  <si>
    <t>Lokaal</t>
  </si>
  <si>
    <t>Federaal</t>
  </si>
  <si>
    <t>Contr</t>
  </si>
  <si>
    <t>FOP</t>
  </si>
  <si>
    <t>Soc. Dienst</t>
  </si>
  <si>
    <t>Kies hier de taal waarin u wenst verder te gaan =&gt; 
Choisissez la langue dans laquelle vous souhaitez poursuivre =&gt;</t>
  </si>
  <si>
    <t>&gt;37,5 années de service</t>
  </si>
  <si>
    <t> BSV1</t>
  </si>
  <si>
    <t>BSV2</t>
  </si>
  <si>
    <t>BSV3</t>
  </si>
  <si>
    <t>BSV4</t>
  </si>
  <si>
    <t>BSV5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</si>
</sst>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7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4" fontId="0" fillId="0" borderId="0" xfId="0" applyNumberFormat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5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6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6" borderId="4" xfId="0" applyFill="1" applyBorder="1"/>
    <xf numFmtId="0" fontId="0" fillId="6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6" borderId="1" xfId="0" applyFill="1" applyBorder="1"/>
    <xf numFmtId="0" fontId="0" fillId="6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6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6" borderId="14" xfId="0" applyFill="1" applyBorder="1"/>
    <xf numFmtId="0" fontId="0" fillId="6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7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8" borderId="55" xfId="0" applyNumberFormat="1" applyFont="1" applyFill="1" applyBorder="1"/>
    <xf numFmtId="0" fontId="0" fillId="5" borderId="56" xfId="0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5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6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9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9" borderId="0" xfId="0" applyNumberFormat="1" applyFill="1" applyProtection="1">
      <protection locked="0"/>
    </xf>
    <xf numFmtId="2" fontId="1" fillId="9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6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6" borderId="0" xfId="0" applyFill="1"/>
    <xf numFmtId="0" fontId="0" fillId="0" borderId="1" xfId="0" applyBorder="1"/>
    <xf numFmtId="49" fontId="0" fillId="0" borderId="0" xfId="0" applyNumberFormat="1"/>
    <xf numFmtId="0" fontId="0" fillId="1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0" borderId="1" xfId="0" applyNumberFormat="1" applyFill="1" applyBorder="1" applyAlignment="1" applyProtection="1">
      <alignment horizontal="center"/>
      <protection locked="0"/>
    </xf>
    <xf numFmtId="166" fontId="0" fillId="10" borderId="1" xfId="0" applyNumberFormat="1" applyFill="1" applyBorder="1" applyAlignment="1" applyProtection="1">
      <alignment horizontal="left"/>
      <protection locked="0"/>
    </xf>
    <xf numFmtId="14" fontId="0" fillId="10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0" borderId="1" xfId="0" applyNumberFormat="1" applyFill="1" applyBorder="1" applyAlignment="1" applyProtection="1">
      <alignment horizontal="center"/>
      <protection locked="0"/>
    </xf>
    <xf numFmtId="166" fontId="0" fillId="11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/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0" fillId="2" borderId="84" xfId="0" applyNumberFormat="1" applyFill="1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0" fillId="2" borderId="84" xfId="0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center"/>
    </xf>
    <xf numFmtId="0" fontId="0" fillId="0" borderId="26" xfId="0" applyBorder="1"/>
    <xf numFmtId="0" fontId="0" fillId="0" borderId="84" xfId="0" applyBorder="1" applyAlignment="1">
      <alignment horizontal="center"/>
    </xf>
    <xf numFmtId="0" fontId="0" fillId="0" borderId="82" xfId="0" applyBorder="1"/>
    <xf numFmtId="10" fontId="0" fillId="0" borderId="36" xfId="0" applyNumberFormat="1" applyBorder="1" applyAlignment="1">
      <alignment horizontal="center"/>
    </xf>
    <xf numFmtId="0" fontId="0" fillId="0" borderId="83" xfId="0" applyBorder="1"/>
    <xf numFmtId="0" fontId="0" fillId="0" borderId="26" xfId="0" quotePrefix="1" applyBorder="1"/>
    <xf numFmtId="0" fontId="15" fillId="0" borderId="30" xfId="0" quotePrefix="1" applyFont="1" applyBorder="1"/>
    <xf numFmtId="166" fontId="15" fillId="0" borderId="30" xfId="0" applyNumberFormat="1" applyFont="1" applyBorder="1"/>
    <xf numFmtId="0" fontId="16" fillId="0" borderId="82" xfId="0" quotePrefix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5" fillId="0" borderId="70" xfId="0" applyFont="1" applyBorder="1"/>
    <xf numFmtId="166" fontId="15" fillId="0" borderId="70" xfId="0" applyNumberFormat="1" applyFont="1" applyBorder="1"/>
    <xf numFmtId="0" fontId="14" fillId="0" borderId="0" xfId="0" applyFont="1" applyAlignment="1">
      <alignment horizontal="center" wrapText="1"/>
    </xf>
    <xf numFmtId="0" fontId="0" fillId="0" borderId="85" xfId="0" quotePrefix="1" applyBorder="1"/>
    <xf numFmtId="0" fontId="0" fillId="0" borderId="86" xfId="0" applyBorder="1"/>
    <xf numFmtId="0" fontId="0" fillId="0" borderId="25" xfId="0" applyBorder="1"/>
    <xf numFmtId="0" fontId="0" fillId="0" borderId="77" xfId="0" applyBorder="1"/>
    <xf numFmtId="0" fontId="0" fillId="0" borderId="47" xfId="0" quotePrefix="1" applyBorder="1"/>
    <xf numFmtId="0" fontId="0" fillId="0" borderId="78" xfId="0" quotePrefix="1" applyBorder="1"/>
    <xf numFmtId="0" fontId="0" fillId="0" borderId="79" xfId="0" applyBorder="1"/>
    <xf numFmtId="0" fontId="0" fillId="0" borderId="80" xfId="0" applyBorder="1"/>
    <xf numFmtId="0" fontId="0" fillId="0" borderId="47" xfId="0" applyBorder="1"/>
    <xf numFmtId="0" fontId="0" fillId="0" borderId="86" xfId="0" applyBorder="1" applyAlignment="1">
      <alignment horizontal="right"/>
    </xf>
    <xf numFmtId="0" fontId="0" fillId="0" borderId="85" xfId="0" quotePrefix="1" applyBorder="1" applyAlignment="1">
      <alignment horizontal="left" indent="1"/>
    </xf>
    <xf numFmtId="166" fontId="0" fillId="0" borderId="25" xfId="0" applyNumberFormat="1" applyBorder="1"/>
    <xf numFmtId="0" fontId="0" fillId="0" borderId="47" xfId="0" applyBorder="1" applyAlignment="1">
      <alignment horizontal="left" indent="1"/>
    </xf>
    <xf numFmtId="166" fontId="0" fillId="0" borderId="77" xfId="0" applyNumberFormat="1" applyBorder="1"/>
    <xf numFmtId="10" fontId="0" fillId="0" borderId="79" xfId="0" applyNumberFormat="1" applyBorder="1"/>
    <xf numFmtId="0" fontId="0" fillId="0" borderId="78" xfId="0" applyBorder="1" applyAlignment="1">
      <alignment horizontal="left" indent="1"/>
    </xf>
    <xf numFmtId="166" fontId="0" fillId="0" borderId="86" xfId="0" applyNumberFormat="1" applyBorder="1"/>
    <xf numFmtId="0" fontId="0" fillId="0" borderId="78" xfId="0" applyBorder="1"/>
    <xf numFmtId="166" fontId="0" fillId="0" borderId="79" xfId="0" applyNumberFormat="1" applyBorder="1"/>
    <xf numFmtId="166" fontId="0" fillId="0" borderId="0" xfId="0" applyNumberFormat="1" applyAlignment="1">
      <alignment horizontal="left" indent="1"/>
    </xf>
    <xf numFmtId="166" fontId="0" fillId="0" borderId="77" xfId="0" quotePrefix="1" applyNumberFormat="1" applyBorder="1"/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79" xfId="0" applyNumberFormat="1" applyBorder="1" applyAlignment="1">
      <alignment horizontal="left" indent="1"/>
    </xf>
    <xf numFmtId="166" fontId="0" fillId="0" borderId="80" xfId="0" applyNumberFormat="1" applyBorder="1"/>
    <xf numFmtId="0" fontId="0" fillId="0" borderId="78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2" fontId="0" fillId="0" borderId="77" xfId="0" applyNumberFormat="1" applyBorder="1"/>
    <xf numFmtId="0" fontId="0" fillId="0" borderId="84" xfId="0" applyBorder="1"/>
    <xf numFmtId="0" fontId="0" fillId="2" borderId="84" xfId="0" applyFill="1" applyBorder="1" applyProtection="1">
      <protection locked="0"/>
    </xf>
    <xf numFmtId="166" fontId="0" fillId="0" borderId="84" xfId="0" applyNumberFormat="1" applyBorder="1"/>
    <xf numFmtId="0" fontId="0" fillId="0" borderId="36" xfId="0" applyBorder="1"/>
    <xf numFmtId="166" fontId="0" fillId="0" borderId="36" xfId="0" applyNumberFormat="1" applyBorder="1"/>
    <xf numFmtId="9" fontId="0" fillId="0" borderId="0" xfId="0" applyNumberFormat="1"/>
    <xf numFmtId="0" fontId="22" fillId="0" borderId="30" xfId="0" applyFont="1" applyBorder="1" applyAlignment="1">
      <alignment horizontal="left" vertical="center" wrapText="1"/>
    </xf>
    <xf numFmtId="0" fontId="17" fillId="2" borderId="71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21" fillId="0" borderId="81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0" fillId="0" borderId="47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19" fillId="0" borderId="4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7" xfId="0" applyFont="1" applyBorder="1" applyAlignment="1">
      <alignment horizontal="center" wrapText="1"/>
    </xf>
    <xf numFmtId="0" fontId="19" fillId="0" borderId="78" xfId="0" applyFont="1" applyBorder="1" applyAlignment="1">
      <alignment horizontal="center" wrapText="1"/>
    </xf>
    <xf numFmtId="0" fontId="19" fillId="0" borderId="79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 wrapText="1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9" borderId="51" xfId="0" applyFont="1" applyFill="1" applyBorder="1" applyAlignment="1">
      <alignment horizontal="center"/>
    </xf>
    <xf numFmtId="0" fontId="2" fillId="9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19"/>
  <sheetViews>
    <sheetView tabSelected="1" zoomScaleNormal="100" workbookViewId="0">
      <selection activeCell="B1" sqref="B1"/>
    </sheetView>
  </sheetViews>
  <sheetFormatPr defaultRowHeight="14.4" x14ac:dyDescent="0.3"/>
  <cols>
    <col min="1" max="1" width="88" customWidth="1"/>
    <col min="2" max="2" width="71.6640625" bestFit="1" customWidth="1"/>
    <col min="3" max="3" width="12.88671875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4.6640625" bestFit="1" customWidth="1"/>
    <col min="159" max="159" width="38" customWidth="1"/>
    <col min="160" max="160" width="10.44140625" bestFit="1" customWidth="1"/>
  </cols>
  <sheetData>
    <row r="1" spans="1:156" ht="42.6" thickBot="1" x14ac:dyDescent="0.45">
      <c r="A1" s="223" t="s">
        <v>364</v>
      </c>
      <c r="B1" s="224"/>
      <c r="EZ1" s="174">
        <f ca="1">IF(BV!Z2&lt;BV!Z1,B1,"")</f>
        <v>0</v>
      </c>
    </row>
    <row r="2" spans="1:156" ht="46.8" thickBot="1" x14ac:dyDescent="0.9">
      <c r="A2" s="232" t="str">
        <f ca="1">IF(BV!Z2&gt;BV!Z1,"Version expired, please download the latest version!",IF($EZ$1="","",(IF($EZ$1="Nederlands","Simulatiemodule NAVAP",(IF($EZ$1="Français","Module de simulation NAPAP",""))))))</f>
        <v/>
      </c>
      <c r="B2" s="233"/>
    </row>
    <row r="3" spans="1:156" ht="19.2" customHeight="1" thickBot="1" x14ac:dyDescent="0.45">
      <c r="A3" s="234" t="str">
        <f ca="1">IF($EZ$1="","",(IF($EZ$1="Nederlands","BASISGEGEVENS",(IF($EZ$1="Français","DONNEES DE BASE","")))))</f>
        <v/>
      </c>
      <c r="B3" s="235"/>
    </row>
    <row r="4" spans="1:156" x14ac:dyDescent="0.3">
      <c r="A4" s="175" t="str">
        <f ca="1">IF($EZ$1="","",(IF($EZ$1="Nederlands","Simulatie voor",(IF($EZ$1="Français","Simulation pour","")))))</f>
        <v/>
      </c>
      <c r="B4" s="167"/>
      <c r="C4" t="s">
        <v>136</v>
      </c>
      <c r="D4" t="e">
        <f>index</f>
        <v>#N/A</v>
      </c>
    </row>
    <row r="5" spans="1:156" ht="14.4" customHeight="1" x14ac:dyDescent="0.3">
      <c r="A5" s="175" t="str">
        <f ca="1">IF($EZ$1="","",(IF($EZ$1="Nederlands","Statutair of contractueel?",(IF($EZ$1="Français","Statutaire ou contractuel(le)?","")))))</f>
        <v/>
      </c>
      <c r="B5" s="176" t="str">
        <f>IF(B1="Français","Statutaire","Statutair")</f>
        <v>Statutair</v>
      </c>
    </row>
    <row r="6" spans="1:156" ht="14.4" customHeight="1" x14ac:dyDescent="0.3">
      <c r="A6" s="175" t="str">
        <f ca="1">IF($EZ$1="","",(IF($EZ$1="Nederlands","Loonschaal",(IF($EZ$1="Français","Echelle de traitement","")))))</f>
        <v/>
      </c>
      <c r="B6" s="168"/>
      <c r="C6" s="225" t="str">
        <f ca="1">IF(AND($EZ$1="Nederlands",B6=""),"Verplicht veld",(IF(AND($EZ$1="Français",B6=""),"Champ obligatoire","")))</f>
        <v/>
      </c>
    </row>
    <row r="7" spans="1:156" ht="14.4" customHeight="1" x14ac:dyDescent="0.3">
      <c r="A7" s="175" t="str">
        <f ca="1">IF($EZ$1="","",(IF($EZ$1="Nederlands","Geldelijke anciënniteit",(IF($EZ$1="Français","Ancienneté pécuniaire","")))))</f>
        <v/>
      </c>
      <c r="B7" s="167"/>
      <c r="C7" s="225" t="str">
        <f ca="1">IF(AND($EZ$1="Nederlands",B7=""),"Verplicht veld",(IF(AND($EZ$1="Français",B7=""),"Champ obligatoire","")))</f>
        <v/>
      </c>
      <c r="D7">
        <f>IF(B7="",0,BBSZ!C4)</f>
        <v>0</v>
      </c>
      <c r="E7" t="str">
        <f ca="1">IF($EZ$1="","",(IF($EZ$1="Nederlands","trap",(IF($EZ$1="Français","Echelon","")))))</f>
        <v/>
      </c>
    </row>
    <row r="8" spans="1:156" x14ac:dyDescent="0.3">
      <c r="A8" s="175" t="str">
        <f ca="1">IF($EZ$1="","",(IF($EZ$1="Nederlands","Jaarwedde",(IF($EZ$1="Français","Base annuelle","")))))</f>
        <v/>
      </c>
      <c r="B8" s="173"/>
      <c r="D8">
        <f>B8</f>
        <v>0</v>
      </c>
    </row>
    <row r="9" spans="1:156" x14ac:dyDescent="0.3">
      <c r="A9" s="175"/>
      <c r="B9" s="176"/>
    </row>
    <row r="10" spans="1:156" x14ac:dyDescent="0.3">
      <c r="A10" s="175" t="str">
        <f ca="1">IF($EZ$1="","",(IF($EZ$1="Nederlands","Aantal dienstjaren",(IF($EZ$1="Français","Nombre d'années de service","")))))</f>
        <v/>
      </c>
      <c r="B10" s="168"/>
      <c r="C10" s="225" t="str">
        <f ca="1">IF(AND($EZ$1="Nederlands",B10=""),"Verplicht veld",(IF(AND($EZ$1="Français",B10=""),"Champ obligatoire","")))</f>
        <v/>
      </c>
      <c r="D10" s="1" t="e">
        <f ca="1">VLOOKUP(B10,Gegevenslijsten!A44:B47,2,FALSE)</f>
        <v>#N/A</v>
      </c>
    </row>
    <row r="11" spans="1:156" ht="15" thickBot="1" x14ac:dyDescent="0.35">
      <c r="A11" s="177" t="str">
        <f ca="1">IF($EZ$1="","",(IF($EZ$1="Nederlands","Uitbetalingspercentage",(IF($EZ$1="Français","Pourcentage de paiement","")))))</f>
        <v/>
      </c>
      <c r="B11" s="178" t="e">
        <f ca="1">D10</f>
        <v>#N/A</v>
      </c>
    </row>
    <row r="13" spans="1:156" ht="15" thickBot="1" x14ac:dyDescent="0.35"/>
    <row r="14" spans="1:156" ht="21.6" thickBot="1" x14ac:dyDescent="0.45">
      <c r="A14" s="234" t="str">
        <f ca="1">IF($EZ$1="","",(IF($EZ$1="Nederlands","FISCALE TOESTAND",(IF($EZ$1="Français","SITUATION FISCALE","")))))</f>
        <v/>
      </c>
      <c r="B14" s="235"/>
    </row>
    <row r="15" spans="1:156" x14ac:dyDescent="0.3">
      <c r="A15" s="179" t="str">
        <f ca="1">IF($EZ$1="","",(IF($EZ$1="Nederlands","U bent",(IF($EZ$1="Français","Vous êtes","")))))</f>
        <v/>
      </c>
      <c r="B15" s="170"/>
      <c r="C15" s="225" t="str">
        <f ca="1">IF(AND($EZ$1="Nederlands",B15=""),"Verplicht veld",(IF(AND($EZ$1="Français",B15=""),"Champ obligatoire","")))</f>
        <v/>
      </c>
    </row>
    <row r="16" spans="1:156" x14ac:dyDescent="0.3">
      <c r="A16" s="175" t="str">
        <f ca="1">IF($EZ$1="","",(IF($EZ$1="Nederlands","Bent u mindervalide",(IF($EZ$1="Français","Etes-vous handicapé(e)","")))))</f>
        <v/>
      </c>
      <c r="B16" s="168"/>
      <c r="C16" s="225" t="str">
        <f ca="1">IF(AND($EZ$1="Nederlands",B16=""),"Verplicht veld",(IF(AND($EZ$1="Français",B16=""),"Champ obligatoire","")))</f>
        <v/>
      </c>
    </row>
    <row r="17" spans="1:5" x14ac:dyDescent="0.3">
      <c r="A17" s="175" t="e">
        <f ca="1">IF(AND(BV!M1&lt;3,$EZ$1="Nederlands"),"Inkomsten partner:",(IF(AND(BV!M1&lt;3,$EZ$1="Français"),"Revenus du/de la partenaire","")))</f>
        <v>#N/A</v>
      </c>
      <c r="B17" s="168"/>
      <c r="C17" s="225" t="e">
        <f ca="1">IF(AND(BV!M1&lt;3,$EZ$1="Nederlands",B17=""),"Verplicht veld",(IF(AND(BV!M1&lt;3,$EZ$1="Français",B68=""),"Champ obligatoire","")))</f>
        <v>#N/A</v>
      </c>
      <c r="E17" t="e">
        <f ca="1">BV!C3</f>
        <v>#N/A</v>
      </c>
    </row>
    <row r="18" spans="1:5" x14ac:dyDescent="0.3">
      <c r="A18" s="175" t="e">
        <f ca="1">IF(AND(BV!M1&lt;3,$EZ$1="Nederlands"),"Is uw partner mindervalide?",(IF(AND(BV!M1&lt;3,$EZ$1="Français"),"Votre partenaire est-il (elle) handicapé(e)?","")))</f>
        <v>#N/A</v>
      </c>
      <c r="B18" s="168"/>
      <c r="C18" s="225" t="e">
        <f ca="1">IF(AND(BV!M1&lt;3,$EZ$1="Nederlands",B18=""),"Verplicht veld",(IF(AND(BV!M1&lt;3,$EZ$1="Français",B69=""),"Champ obligatoire","")))</f>
        <v>#N/A</v>
      </c>
      <c r="E18" t="e">
        <f ca="1">BV!C4</f>
        <v>#N/A</v>
      </c>
    </row>
    <row r="19" spans="1:5" x14ac:dyDescent="0.3">
      <c r="A19" s="175" t="str">
        <f ca="1">IF($EZ$1="","",(IF($EZ$1="Nederlands","Hoeveel kinderen heeft u ten laste?",(IF($EZ$1="Français","Combien d'enfants avez-vous à charge?","")))))</f>
        <v/>
      </c>
      <c r="B19" s="168">
        <v>0</v>
      </c>
    </row>
    <row r="20" spans="1:5" x14ac:dyDescent="0.3">
      <c r="A20" s="175" t="str">
        <f ca="1">IF($EZ$1="","",(IF($EZ$1="Nederlands","Hoeveel van deze kinderen zijn mindervalide?",(IF($EZ$1="Français","Combien de ces enfants sont handicapés?","")))))</f>
        <v/>
      </c>
      <c r="B20" s="168">
        <v>0</v>
      </c>
    </row>
    <row r="21" spans="1:5" x14ac:dyDescent="0.3">
      <c r="A21" s="175" t="str">
        <f ca="1">IF($EZ$1="","",(IF($EZ$1="Nederlands","Hoeveel personen ouder dan 65 jaar heeft u ten laste?",(IF($EZ$1="Français","Combien de personnes de plus de 65 ans avez-vous à charge?","")))))</f>
        <v/>
      </c>
      <c r="B21" s="168">
        <v>0</v>
      </c>
    </row>
    <row r="22" spans="1:5" x14ac:dyDescent="0.3">
      <c r="A22" s="175" t="str">
        <f>IF(AND(B1="Nederlands",B21&gt;0),"Zijn één of meerdere van deze personen ouder dan 65 jaar mindervalide of zorgbehoevend?",(IF(AND(B1="Français",B21&gt;0),"Y a-t-il une ou plusieurs personne(s) de plus de 65 ans handicapée(s) ou en situation de dépendance?","")))</f>
        <v/>
      </c>
      <c r="B22" s="168"/>
    </row>
    <row r="23" spans="1:5" x14ac:dyDescent="0.3">
      <c r="A23" s="180" t="str">
        <f>IF(A22="","",(IF($EZ$1="","",(IF(AND($EZ$1="Nederlands",B22="ja"),"Hoeveel van deze personen ouder dan 65 jaar zijn mindervalide?",(IF(AND($EZ$1="Français",B22="oui"),"Combien de ces personnes de plus de 65 ans sont handicapées?","")))))))</f>
        <v/>
      </c>
      <c r="B23" s="168"/>
    </row>
    <row r="24" spans="1:5" x14ac:dyDescent="0.3">
      <c r="A24" s="180" t="str">
        <f>IF(A22="","",(IF($EZ$1="","",(IF(AND($EZ$1="Nederlands",B22="ja"),"Hoeveel van deze personen ouder dan 65 jaar zijn zorgbehoevend?",(IF(AND($EZ$1="Français",B22="Oui"),"Combien de ces personnes de plus de 65 ans sont en situation de dépendance?","")))))))</f>
        <v/>
      </c>
      <c r="B24" s="168"/>
    </row>
    <row r="25" spans="1:5" x14ac:dyDescent="0.3">
      <c r="A25" s="180" t="str">
        <f ca="1">IF($EZ$1="","",(IF($EZ$1="Nederlands","Hoeveel andere personen heeft u ten laste?",(IF($EZ$1="Français","Combien d'autres personnes avez-vous à charge?","")))))</f>
        <v/>
      </c>
      <c r="B25" s="168">
        <v>0</v>
      </c>
    </row>
    <row r="26" spans="1:5" ht="15" thickBot="1" x14ac:dyDescent="0.35">
      <c r="A26" s="177" t="str">
        <f ca="1">IF($EZ$1="","",(IF($EZ$1="Nederlands","Hoeveel van deze andere personen zijn mindervalide?",(IF($EZ$1="Français","Combien de ces autres personnes sont handicapées?","")))))</f>
        <v/>
      </c>
      <c r="B26" s="169">
        <v>0</v>
      </c>
    </row>
    <row r="27" spans="1:5" ht="15" thickBot="1" x14ac:dyDescent="0.35"/>
    <row r="28" spans="1:5" ht="46.95" customHeight="1" thickBot="1" x14ac:dyDescent="0.9">
      <c r="A28" s="181" t="str">
        <f ca="1">IF($EZ$1="","",(IF($EZ$1="Nederlands","Nettowedde:",(IF($EZ$1="Français","Salaire net:","")))))</f>
        <v/>
      </c>
      <c r="B28" s="182" t="e">
        <f ca="1">'SIMUL SSGPI'!B37</f>
        <v>#N/A</v>
      </c>
      <c r="C28" s="183"/>
      <c r="D28" s="184"/>
      <c r="E28" s="184"/>
    </row>
    <row r="29" spans="1:5" ht="46.95" customHeight="1" thickBot="1" x14ac:dyDescent="0.9">
      <c r="A29" s="181" t="str">
        <f ca="1">IF($EZ$1="","",(IF($EZ$1="Nederlands","Netto vakantiegeld:",(IF($EZ$1="Français","Pécule de vacances net:","")))))</f>
        <v/>
      </c>
      <c r="B29" s="182" t="e">
        <f ca="1">Jaartoelagen!C20</f>
        <v>#N/A</v>
      </c>
      <c r="C29" s="244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29" s="245"/>
      <c r="E29" s="246"/>
    </row>
    <row r="30" spans="1:5" ht="46.8" thickBot="1" x14ac:dyDescent="0.9">
      <c r="A30" s="181" t="str">
        <f ca="1">IF($EZ$1="","",(IF($EZ$1="Nederlands","Netto eindejaarstoelage:",(IF($EZ$1="Français","Allocation de fin d'année nette:","")))))</f>
        <v/>
      </c>
      <c r="B30" s="182" t="e">
        <f ca="1">IF(B5="contractueel",Jaartoelagen!W20,Jaartoelagen!U20)</f>
        <v>#N/A</v>
      </c>
      <c r="C30" s="247"/>
      <c r="D30" s="245"/>
      <c r="E30" s="246"/>
    </row>
    <row r="31" spans="1:5" ht="17.399999999999999" customHeight="1" thickBot="1" x14ac:dyDescent="0.9">
      <c r="A31" s="185"/>
      <c r="B31" s="186"/>
      <c r="C31" s="187"/>
      <c r="D31" s="187"/>
    </row>
    <row r="33" spans="1:4" ht="87.6" customHeight="1" x14ac:dyDescent="0.85">
      <c r="A33" s="242" t="str">
        <f ca="1">IF($EZ$1="","",(IF($EZ$1="Nederlands","Om uw simulatie af te drukken, ga naar bestand =&gt; afdrukken",(IF($EZ$1="Français","Pour imprimer la simulation, allez dans fichier =&gt; imprimer","")))))</f>
        <v/>
      </c>
      <c r="B33" s="243"/>
    </row>
    <row r="35" spans="1:4" ht="15" thickBot="1" x14ac:dyDescent="0.35"/>
    <row r="36" spans="1:4" ht="21.6" thickBot="1" x14ac:dyDescent="0.45">
      <c r="A36" s="250" t="str">
        <f ca="1">IF($EZ$1="","",(IF($EZ$1="Nederlands","PATRONALE KOST",(IF($EZ$1="Français","COÛT PATRONAL","")))))</f>
        <v/>
      </c>
      <c r="B36" s="250"/>
    </row>
    <row r="37" spans="1:4" x14ac:dyDescent="0.3">
      <c r="A37" s="217" t="str">
        <f ca="1">IF($EZ$1="","",(IF($EZ$1="Nederlands","Wenst u de patronale kost te berekenen? ",(IF($EZ$1="Français","Souhaitez-vous calculer le coût patronal ?","")))))</f>
        <v/>
      </c>
      <c r="B37" s="218"/>
    </row>
    <row r="38" spans="1:4" x14ac:dyDescent="0.3">
      <c r="A38" s="217" t="str">
        <f>IF(OR(B37="ja",B37="oui"),(IF($EZ$1="","",(IF($EZ$1="Nederlands","Waar werkt uw personeelslid? ",(IF($EZ$1="Français","Où travaille votre membre du personnel ?","")))))),"")</f>
        <v/>
      </c>
      <c r="B38" s="218"/>
    </row>
    <row r="39" spans="1:4" x14ac:dyDescent="0.3">
      <c r="A39" s="217" t="str">
        <f>IF(AND(B1="nederlands",B37="ja",(OR(B38="federale politie",B38="lokale politie"))),"Patronale ZIV-bijdrage:",(IF(AND(B1="français",B37="oui",(OR(B38="police fédérale",B38="police locale"))),"Cotisation AMI patronale:","")))</f>
        <v/>
      </c>
      <c r="B39" s="219" t="str">
        <f>IF(OR(AND(B37="ja",(OR(B38="federale politie",B38="lokale politie"))),(AND(B37="oui",(OR(B38="police fédérale",B38="police locale"))))),'SIMUL SSGPI'!F19,"")</f>
        <v/>
      </c>
      <c r="D39" s="162" t="str">
        <f>B39</f>
        <v/>
      </c>
    </row>
    <row r="40" spans="1:4" x14ac:dyDescent="0.3">
      <c r="A40" s="217"/>
      <c r="B40" s="219"/>
    </row>
    <row r="41" spans="1:4" x14ac:dyDescent="0.3">
      <c r="A41" s="217" t="str">
        <f>IF(AND(B$1="nederlands",B$5="statutair",B$38="lokale politie"),"Patronale bijdrage sociale dienst:",(IF(AND(B$1="français",B$5="statutaire",B$38="police locale"),"Cotisation patronale service sociale:","")))</f>
        <v/>
      </c>
      <c r="B41" s="219" t="str">
        <f>IF(OR(AND(B37="ja",B38="lokale politie"),(AND(B37="oui",B38="police locale"))),'SIMUL SSGPI'!F20,"")</f>
        <v/>
      </c>
      <c r="D41">
        <f>IF(B41="",0,B41)</f>
        <v>0</v>
      </c>
    </row>
    <row r="42" spans="1:4" ht="15" thickBot="1" x14ac:dyDescent="0.35">
      <c r="A42" s="220" t="str">
        <f>IF(AND(B$1="nederlands",B$37="ja"),"Patronale kost maandloon:",(IF(AND(B$1="français",B$37="oui"),"Coût patronal du salaire mensuel:","")))</f>
        <v/>
      </c>
      <c r="B42" s="221" t="e">
        <f>ROUND(IF(OR(B37="ja",B37="oui"),D39+D40+D41+'SIMUL SSGPI'!B19,""),2)</f>
        <v>#VALUE!</v>
      </c>
    </row>
    <row r="71" spans="157:160" ht="61.2" x14ac:dyDescent="0.3">
      <c r="FA71" s="239" t="str">
        <f ca="1">IF($EZ$1="nederlands","Simulatie NAVAP",(IF($EZ$1="français","Simulation NAPAP","")))</f>
        <v/>
      </c>
      <c r="FB71" s="240"/>
      <c r="FC71" s="240"/>
      <c r="FD71" s="241"/>
    </row>
    <row r="72" spans="157:160" x14ac:dyDescent="0.3">
      <c r="FA72" s="236" t="str">
        <f ca="1">FA73</f>
        <v/>
      </c>
      <c r="FB72" s="237"/>
      <c r="FC72" s="237"/>
      <c r="FD72" s="238"/>
    </row>
    <row r="73" spans="157:160" x14ac:dyDescent="0.3">
      <c r="FA73" s="188" t="str">
        <f ca="1">IF($EZ$1="","",(IF($EZ$1="Nederlands","Fiscale toestand",(IF($EZ$1="Français","Situation fiscale","")))))</f>
        <v/>
      </c>
      <c r="FB73" s="189">
        <f>B15</f>
        <v>0</v>
      </c>
      <c r="FC73" s="198" t="str">
        <f ca="1">IF($EZ$1="","",(IF($EZ$1="Nederlands","Simulatie als",(IF($EZ$1="Français","Simulation comme","")))))</f>
        <v/>
      </c>
      <c r="FD73" s="190" t="str">
        <f>B5</f>
        <v>Statutair</v>
      </c>
    </row>
    <row r="74" spans="157:160" x14ac:dyDescent="0.3">
      <c r="FA74" s="248">
        <f>B17</f>
        <v>0</v>
      </c>
      <c r="FB74" s="249"/>
      <c r="FC74" s="215" t="str">
        <f ca="1">IF($EZ$1="","",(IF($EZ$1="Nederlands","U bent MV",(IF($EZ$1="Français","Vous êtes handicapé(e)","")))))</f>
        <v/>
      </c>
      <c r="FD74" s="191">
        <f>B16</f>
        <v>0</v>
      </c>
    </row>
    <row r="75" spans="157:160" x14ac:dyDescent="0.3">
      <c r="FA75" s="248"/>
      <c r="FB75" s="249"/>
      <c r="FC75" s="215" t="str">
        <f ca="1">IF($EZ$1="","",(IF($EZ$1="Nederlands","Uw partner is MV",(IF($EZ$1="Français","Partenaire handicapé(e)","")))))</f>
        <v/>
      </c>
      <c r="FD75" s="191">
        <f>B18</f>
        <v>0</v>
      </c>
    </row>
    <row r="76" spans="157:160" x14ac:dyDescent="0.3">
      <c r="FA76" s="192" t="str">
        <f ca="1">IF($EZ$1="","",(IF($EZ$1="Nederlands","Kinderen ten laste",(IF($EZ$1="Français","Enfants à charge","")))))</f>
        <v/>
      </c>
      <c r="FB76">
        <f>B19</f>
        <v>0</v>
      </c>
      <c r="FC76" s="215" t="str">
        <f ca="1">IF($EZ$1="","",(IF($EZ$1="Nederlands","MV Kinderen",(IF($EZ$1="Français","Enfants handicapés","")))))</f>
        <v/>
      </c>
      <c r="FD76" s="191">
        <f>B20</f>
        <v>0</v>
      </c>
    </row>
    <row r="77" spans="157:160" x14ac:dyDescent="0.3">
      <c r="FA77" s="192" t="str">
        <f ca="1">IF($EZ$1="","",(IF($EZ$1="Nederlands","Andere personen ten laste",(IF($EZ$1="Français","Autres personnes à charge","")))))</f>
        <v/>
      </c>
      <c r="FB77">
        <f>B25-FD77</f>
        <v>0</v>
      </c>
      <c r="FC77" s="215" t="str">
        <f ca="1">IF($EZ$1="","",(IF($EZ$1="Nederlands","Andere MV personen",(IF($EZ$1="Français","Autres personnes handicapées","")))))</f>
        <v/>
      </c>
      <c r="FD77" s="191">
        <f>B26</f>
        <v>0</v>
      </c>
    </row>
    <row r="78" spans="157:160" x14ac:dyDescent="0.3">
      <c r="FA78" s="192" t="str">
        <f ca="1">IF($EZ$1="","",(IF($EZ$1="Nederlands","Andere personen +65 jaar ten laste",(IF($EZ$1="Français","Autres personnes +65 à charge","")))))</f>
        <v/>
      </c>
      <c r="FB78">
        <f>B21-FD78-FD79</f>
        <v>0</v>
      </c>
      <c r="FC78" s="215" t="str">
        <f ca="1">IF($EZ$1="","",(IF($EZ$1="Nederlands","Andere MV personen +65 jaar",(IF($EZ$1="Français","Autres personnes +65 ans handicapées","")))))</f>
        <v/>
      </c>
      <c r="FD78" s="191">
        <f>B23</f>
        <v>0</v>
      </c>
    </row>
    <row r="79" spans="157:160" x14ac:dyDescent="0.3">
      <c r="FA79" s="193"/>
      <c r="FB79" s="194"/>
      <c r="FC79" s="214" t="str">
        <f ca="1">IF($EZ$1="","",(IF($EZ$1="Nederlands","Andere zorgbehoevende personen +65 j",(IF($EZ$1="Français","Autres pers. +65 ans en sit. dépendance","")))))</f>
        <v/>
      </c>
      <c r="FD79" s="195">
        <f>B24</f>
        <v>0</v>
      </c>
    </row>
    <row r="80" spans="157:160" x14ac:dyDescent="0.3">
      <c r="FA80" s="196"/>
      <c r="FD80" s="191"/>
    </row>
    <row r="81" spans="157:160" x14ac:dyDescent="0.3">
      <c r="FA81" s="236" t="str">
        <f ca="1">IF($EZ$1="nederlands","BASISGEGEVENS",(IF($EZ$1="français","DONNEES DE BASE","")))</f>
        <v/>
      </c>
      <c r="FB81" s="237"/>
      <c r="FC81" s="237"/>
      <c r="FD81" s="238"/>
    </row>
    <row r="82" spans="157:160" x14ac:dyDescent="0.3">
      <c r="FA82" s="188" t="str">
        <f ca="1">IF($EZ$1="","",(IF($EZ$1="Nederlands","Loonschaal ",(IF($EZ$1="Français","Echelle de traitement","")))))</f>
        <v/>
      </c>
      <c r="FB82" s="197">
        <f>B6</f>
        <v>0</v>
      </c>
      <c r="FC82" s="198" t="str">
        <f ca="1">IF($EZ$1="","",(IF($EZ$1="Nederlands","Jaarwedde",(IF($EZ$1="Français","Base annuelle","")))))</f>
        <v/>
      </c>
      <c r="FD82" s="199">
        <f>B8</f>
        <v>0</v>
      </c>
    </row>
    <row r="83" spans="157:160" x14ac:dyDescent="0.3">
      <c r="FA83" s="192" t="str">
        <f ca="1">IF($EZ$1="","",(IF($EZ$1="Nederlands","Loontrap",(IF($EZ$1="Français","Echelon","")))))</f>
        <v/>
      </c>
      <c r="FB83">
        <f>D7</f>
        <v>0</v>
      </c>
      <c r="FC83" s="200"/>
      <c r="FD83" s="201"/>
    </row>
    <row r="84" spans="157:160" x14ac:dyDescent="0.3">
      <c r="FA84" s="193" t="str">
        <f ca="1">IF($EZ$1="","",(IF($EZ$1="Nederlands","NAVAP",(IF($EZ$1="Français","NAPAP","")))))</f>
        <v/>
      </c>
      <c r="FB84" s="202" t="e">
        <f ca="1">B11</f>
        <v>#N/A</v>
      </c>
      <c r="FC84" s="203" t="str">
        <f>C4</f>
        <v>Index</v>
      </c>
      <c r="FD84" s="195" t="e">
        <f>D4</f>
        <v>#N/A</v>
      </c>
    </row>
    <row r="85" spans="157:160" x14ac:dyDescent="0.3">
      <c r="FA85" s="196"/>
      <c r="FD85" s="191"/>
    </row>
    <row r="86" spans="157:160" x14ac:dyDescent="0.3">
      <c r="FA86" s="236" t="str">
        <f ca="1">IF($EZ$1="","",(IF($EZ$1="Nederlands","WEDDE",(IF($EZ$1="Français","TRAITEMENT","")))))</f>
        <v/>
      </c>
      <c r="FB86" s="237"/>
      <c r="FC86" s="237"/>
      <c r="FD86" s="238"/>
    </row>
    <row r="87" spans="157:160" x14ac:dyDescent="0.3">
      <c r="FA87" s="188" t="str">
        <f ca="1">IF($EZ$1="","",(IF($EZ$1="Nederlands","Wedde",(IF($EZ$1="Français","Traitement","")))))</f>
        <v/>
      </c>
      <c r="FB87" s="204" t="e">
        <f ca="1">ROUND('SIMUL SSGPI'!E5,2)</f>
        <v>#N/A</v>
      </c>
      <c r="FC87" s="189"/>
      <c r="FD87" s="190"/>
    </row>
    <row r="88" spans="157:160" x14ac:dyDescent="0.3">
      <c r="FA88" s="196"/>
      <c r="FB88" s="162"/>
      <c r="FD88" s="191"/>
    </row>
    <row r="89" spans="157:160" x14ac:dyDescent="0.3">
      <c r="FA89" s="205"/>
      <c r="FB89" s="206"/>
      <c r="FC89" s="194"/>
      <c r="FD89" s="195"/>
    </row>
    <row r="90" spans="157:160" x14ac:dyDescent="0.3">
      <c r="FA90" s="196"/>
      <c r="FC90" s="162"/>
      <c r="FD90" s="191"/>
    </row>
    <row r="91" spans="157:160" x14ac:dyDescent="0.3">
      <c r="FA91" s="263"/>
      <c r="FB91" s="264"/>
      <c r="FC91" s="264"/>
      <c r="FD91" s="265"/>
    </row>
    <row r="92" spans="157:160" x14ac:dyDescent="0.3">
      <c r="FA92" s="196"/>
      <c r="FB92" s="162"/>
      <c r="FC92" s="207"/>
      <c r="FD92" s="201"/>
    </row>
    <row r="93" spans="157:160" x14ac:dyDescent="0.3">
      <c r="FA93" s="196"/>
      <c r="FB93" s="162"/>
      <c r="FC93" s="162"/>
      <c r="FD93" s="201"/>
    </row>
    <row r="94" spans="157:160" x14ac:dyDescent="0.3">
      <c r="FA94" s="196"/>
      <c r="FB94" s="162"/>
      <c r="FC94" s="207"/>
      <c r="FD94" s="201"/>
    </row>
    <row r="95" spans="157:160" x14ac:dyDescent="0.3">
      <c r="FA95" s="196"/>
      <c r="FB95" s="162"/>
      <c r="FC95" s="207"/>
      <c r="FD95" s="208"/>
    </row>
    <row r="96" spans="157:160" x14ac:dyDescent="0.3">
      <c r="FA96" s="266"/>
      <c r="FB96" s="267"/>
      <c r="FC96" s="267"/>
      <c r="FD96" s="201"/>
    </row>
    <row r="97" spans="157:160" x14ac:dyDescent="0.3">
      <c r="FA97" s="209"/>
      <c r="FB97" s="211"/>
      <c r="FC97" s="210"/>
      <c r="FD97" s="201"/>
    </row>
    <row r="98" spans="157:160" x14ac:dyDescent="0.3">
      <c r="FA98" s="260"/>
      <c r="FB98" s="261"/>
      <c r="FC98" s="261"/>
      <c r="FD98" s="262"/>
    </row>
    <row r="99" spans="157:160" x14ac:dyDescent="0.3">
      <c r="FA99" s="205"/>
      <c r="FB99" s="206"/>
      <c r="FC99" s="212"/>
      <c r="FD99" s="213"/>
    </row>
    <row r="100" spans="157:160" x14ac:dyDescent="0.3">
      <c r="FA100" s="196"/>
      <c r="FC100" s="162"/>
      <c r="FD100" s="191"/>
    </row>
    <row r="101" spans="157:160" x14ac:dyDescent="0.3">
      <c r="FA101" s="192" t="str">
        <f ca="1">IF($EZ$1="","",(IF($EZ$1="Nederlands","Totaal Bruto",(IF($EZ$1="Français","Total brut","")))))</f>
        <v/>
      </c>
      <c r="FB101" s="162" t="e">
        <f ca="1">'SIMUL SSGPI'!B21</f>
        <v>#N/A</v>
      </c>
      <c r="FD101" s="191"/>
    </row>
    <row r="102" spans="157:160" x14ac:dyDescent="0.3">
      <c r="FA102" s="196"/>
      <c r="FB102" s="162"/>
      <c r="FD102" s="191"/>
    </row>
    <row r="103" spans="157:160" x14ac:dyDescent="0.3">
      <c r="FA103" s="196" t="str">
        <f ca="1">IF(AND($EZ$1="nederlands",B5="statutair"),"Inhouding ZIV 3,55%",(IF(AND($EZ$1="français",B5="statutaire"),"Retenue AMI 3,55%","")))</f>
        <v/>
      </c>
      <c r="FB103" s="162" t="e">
        <f ca="1">'SIMUL SSGPI'!B23</f>
        <v>#N/A</v>
      </c>
      <c r="FC103" t="str">
        <f ca="1">IF($EZ$1="nederlands","Basisbedrag:",(IF($EZ$1="français","Montant de base:","")))</f>
        <v/>
      </c>
      <c r="FD103" s="216" t="e">
        <f ca="1">ROUND('SIMUL SSGPI'!B21,2)</f>
        <v>#N/A</v>
      </c>
    </row>
    <row r="104" spans="157:160" x14ac:dyDescent="0.3">
      <c r="FA104" s="196" t="s">
        <v>352</v>
      </c>
      <c r="FB104" s="162"/>
      <c r="FD104" s="191"/>
    </row>
    <row r="105" spans="157:160" x14ac:dyDescent="0.3">
      <c r="FA105" s="196"/>
      <c r="FB105" s="162"/>
      <c r="FD105" s="191"/>
    </row>
    <row r="106" spans="157:160" x14ac:dyDescent="0.3">
      <c r="FA106" s="196"/>
      <c r="FC106" s="162"/>
      <c r="FD106" s="191"/>
    </row>
    <row r="107" spans="157:160" x14ac:dyDescent="0.3">
      <c r="FA107" s="192" t="str">
        <f ca="1">IF($EZ$1="","",(IF($EZ$1="Nederlands","Belastbaar",(IF($EZ$1="Français","Imposable","")))))</f>
        <v/>
      </c>
      <c r="FB107" s="162" t="e">
        <f ca="1">'SIMUL SSGPI'!D31</f>
        <v>#N/A</v>
      </c>
      <c r="FD107" s="191"/>
    </row>
    <row r="108" spans="157:160" x14ac:dyDescent="0.3">
      <c r="FA108" s="192"/>
      <c r="FB108" s="162"/>
      <c r="FD108" s="191"/>
    </row>
    <row r="109" spans="157:160" x14ac:dyDescent="0.3">
      <c r="FA109" s="196" t="str">
        <f ca="1">IF($EZ$1="","",(IF($EZ$1="Nederlands","Bedrijfsvoorheffing",(IF($EZ$1="Français","Précompte professionel","")))))</f>
        <v/>
      </c>
      <c r="FB109" s="162" t="e">
        <f ca="1">'SIMUL SSGPI'!B35</f>
        <v>#N/A</v>
      </c>
      <c r="FD109" s="191"/>
    </row>
    <row r="110" spans="157:160" x14ac:dyDescent="0.3">
      <c r="FA110" s="192"/>
      <c r="FB110" s="162"/>
      <c r="FD110" s="191"/>
    </row>
    <row r="111" spans="157:160" x14ac:dyDescent="0.3">
      <c r="FA111" s="196"/>
      <c r="FD111" s="191"/>
    </row>
    <row r="112" spans="157:160" x14ac:dyDescent="0.3">
      <c r="FA112" s="192" t="str">
        <f ca="1">IF($EZ$1="","",(IF($EZ$1="Nederlands","BBSZ",(IF($EZ$1="Français","CSSS","")))))</f>
        <v/>
      </c>
      <c r="FB112" s="162" t="e">
        <f ca="1">'SIMUL SSGPI'!B29</f>
        <v>#N/A</v>
      </c>
      <c r="FD112" s="191"/>
    </row>
    <row r="113" spans="157:160" x14ac:dyDescent="0.3">
      <c r="FA113" s="192"/>
      <c r="FD113" s="191"/>
    </row>
    <row r="114" spans="157:160" x14ac:dyDescent="0.3">
      <c r="FA114" s="196" t="str">
        <f ca="1">IF($EZ$1="","",(IF($EZ$1="Nederlands","Netto",(IF($EZ$1="Français","Net","")))))</f>
        <v/>
      </c>
      <c r="FC114" s="162" t="e">
        <f ca="1">'SIMUL SSGPI'!B37</f>
        <v>#N/A</v>
      </c>
      <c r="FD114" s="191"/>
    </row>
    <row r="115" spans="157:160" x14ac:dyDescent="0.3">
      <c r="FA115" s="196"/>
      <c r="FD115" s="191"/>
    </row>
    <row r="116" spans="157:160" x14ac:dyDescent="0.3">
      <c r="FA116" s="257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16" s="258"/>
      <c r="FC116" s="258"/>
      <c r="FD116" s="259"/>
    </row>
    <row r="117" spans="157:160" x14ac:dyDescent="0.3">
      <c r="FA117" s="257"/>
      <c r="FB117" s="258"/>
      <c r="FC117" s="258"/>
      <c r="FD117" s="259"/>
    </row>
    <row r="118" spans="157:160" x14ac:dyDescent="0.3">
      <c r="FA118" s="251"/>
      <c r="FB118" s="252"/>
      <c r="FC118" s="252"/>
      <c r="FD118" s="253"/>
    </row>
    <row r="119" spans="157:160" x14ac:dyDescent="0.3">
      <c r="FA119" s="254"/>
      <c r="FB119" s="255"/>
      <c r="FC119" s="255"/>
      <c r="FD119" s="256"/>
    </row>
  </sheetData>
  <sheetProtection algorithmName="SHA-512" hashValue="F36xpuzhmTCfCg8TiFfOi1qUqQuM0i3nM03oZx7u09gnwK3ba0HTaWElLT2cqGcWdXcNAptPvxDOREByraSvMA==" saltValue="FmQX7y6PiwYXe9WgDSRKtw==" spinCount="100000" sheet="1" selectLockedCells="1"/>
  <mergeCells count="16">
    <mergeCell ref="FA118:FD119"/>
    <mergeCell ref="FA116:FD117"/>
    <mergeCell ref="FA98:FD98"/>
    <mergeCell ref="FA91:FD91"/>
    <mergeCell ref="FA96:FC96"/>
    <mergeCell ref="A2:B2"/>
    <mergeCell ref="A3:B3"/>
    <mergeCell ref="FA86:FD86"/>
    <mergeCell ref="FA71:FD71"/>
    <mergeCell ref="A14:B14"/>
    <mergeCell ref="A33:B33"/>
    <mergeCell ref="C29:E30"/>
    <mergeCell ref="FA72:FD72"/>
    <mergeCell ref="FA81:FD81"/>
    <mergeCell ref="FA74:FB75"/>
    <mergeCell ref="A36:B36"/>
  </mergeCells>
  <pageMargins left="0.7" right="0.7" top="0.75" bottom="0.75" header="0.3" footer="0.3"/>
  <pageSetup paperSize="9" scale="90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07D332A-0B33-4DA8-9CA5-E32BB9DCA01D}">
          <x14:formula1>
            <xm:f>Loonschalen!$B$2:$BF$2</xm:f>
          </x14:formula1>
          <xm:sqref>B6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B15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B17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B16 B18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B19:B20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B21 B23:B24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B25:B26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E4B18000-15B6-41E6-BF23-7B70527AA040}">
          <x14:formula1>
            <xm:f>Gegevenslijsten!$A$44:$A$47</xm:f>
          </x14:formula1>
          <xm:sqref>B10</xm:sqref>
        </x14:dataValidation>
        <x14:dataValidation type="list" allowBlank="1" showInputMessage="1" showErrorMessage="1" xr:uid="{5CCDC54F-94E3-4E79-957E-EE6C96150D31}">
          <x14:formula1>
            <xm:f>Gegevenslijsten!$D$3:$D$4</xm:f>
          </x14:formula1>
          <xm:sqref>B22 B37</xm:sqref>
        </x14:dataValidation>
        <x14:dataValidation type="list" allowBlank="1" showInputMessage="1" showErrorMessage="1" xr:uid="{10E50671-BC2E-402C-9436-E1A7214CD935}">
          <x14:formula1>
            <xm:f>Gegevenslijsten!$A$50:$A$51</xm:f>
          </x14:formula1>
          <xm:sqref>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41"/>
  <sheetViews>
    <sheetView zoomScaleNormal="100" workbookViewId="0">
      <selection activeCell="B19" sqref="B19"/>
    </sheetView>
  </sheetViews>
  <sheetFormatPr defaultRowHeight="14.4" x14ac:dyDescent="0.3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</cols>
  <sheetData>
    <row r="1" spans="1:37" x14ac:dyDescent="0.3">
      <c r="A1" s="5" t="str">
        <f ca="1">K1</f>
        <v/>
      </c>
      <c r="B1" s="6"/>
      <c r="C1" s="5"/>
      <c r="D1" s="5"/>
      <c r="I1">
        <f ca="1">SIMUL!EZ1</f>
        <v>0</v>
      </c>
      <c r="K1" t="str">
        <f ca="1">IF($I$1="Nederlands",L1,(IF($I$1="Français",M1,"")))</f>
        <v/>
      </c>
      <c r="L1" t="s">
        <v>38</v>
      </c>
      <c r="M1" t="s">
        <v>269</v>
      </c>
      <c r="AA1" t="s">
        <v>210</v>
      </c>
    </row>
    <row r="2" spans="1:37" x14ac:dyDescent="0.3">
      <c r="A2" s="5" t="str">
        <f t="shared" ref="A2:A35" ca="1" si="0">K2</f>
        <v/>
      </c>
      <c r="B2" s="7"/>
      <c r="C2" s="5"/>
      <c r="D2" s="5"/>
      <c r="K2" t="str">
        <f t="shared" ref="K2:K36" ca="1" si="1">IF($I$1="Nederlands",L2,(IF($I$1="Français",M2,"")))</f>
        <v/>
      </c>
      <c r="L2" t="s">
        <v>39</v>
      </c>
      <c r="M2" t="s">
        <v>270</v>
      </c>
    </row>
    <row r="3" spans="1:37" x14ac:dyDescent="0.3">
      <c r="A3" s="5" t="str">
        <f t="shared" ca="1" si="0"/>
        <v/>
      </c>
      <c r="B3" s="163" t="e">
        <f>BBSZ!D2</f>
        <v>#N/A</v>
      </c>
      <c r="C3" s="5"/>
      <c r="D3" s="5"/>
      <c r="K3" t="str">
        <f t="shared" ca="1" si="1"/>
        <v/>
      </c>
      <c r="L3" t="s">
        <v>136</v>
      </c>
      <c r="M3" t="s">
        <v>136</v>
      </c>
      <c r="AA3" t="s">
        <v>128</v>
      </c>
      <c r="AB3" s="162" t="e">
        <f>'SIMUL SSGPI'!#REF!</f>
        <v>#REF!</v>
      </c>
    </row>
    <row r="4" spans="1:37" x14ac:dyDescent="0.3">
      <c r="A4" s="5"/>
      <c r="B4" s="5"/>
      <c r="C4" s="5"/>
      <c r="D4" s="5"/>
      <c r="K4" t="str">
        <f t="shared" ca="1" si="1"/>
        <v/>
      </c>
      <c r="L4" t="s">
        <v>315</v>
      </c>
      <c r="M4" t="s">
        <v>316</v>
      </c>
    </row>
    <row r="5" spans="1:37" x14ac:dyDescent="0.3">
      <c r="A5" s="5" t="str">
        <f t="shared" ca="1" si="0"/>
        <v/>
      </c>
      <c r="B5" s="162">
        <f>SIMUL!D8</f>
        <v>0</v>
      </c>
      <c r="C5" s="164" t="str">
        <f ca="1">K4</f>
        <v/>
      </c>
      <c r="D5" s="165">
        <f>SIMUL!B6</f>
        <v>0</v>
      </c>
      <c r="E5" s="162" t="e">
        <f ca="1">B5*index*breuk*B8/(12*B9)</f>
        <v>#N/A</v>
      </c>
      <c r="K5" t="str">
        <f t="shared" ca="1" si="1"/>
        <v/>
      </c>
      <c r="L5" t="s">
        <v>40</v>
      </c>
      <c r="M5" t="s">
        <v>271</v>
      </c>
    </row>
    <row r="6" spans="1:37" x14ac:dyDescent="0.3">
      <c r="A6" s="5" t="str">
        <f t="shared" ca="1" si="0"/>
        <v/>
      </c>
      <c r="B6" s="162"/>
      <c r="C6" s="164" t="s">
        <v>57</v>
      </c>
      <c r="D6" s="166"/>
      <c r="E6" s="162" t="e">
        <f ca="1">B6*index*breuk*B8/(12*B9)</f>
        <v>#N/A</v>
      </c>
      <c r="K6" t="str">
        <f t="shared" ca="1" si="1"/>
        <v/>
      </c>
      <c r="L6" t="s">
        <v>56</v>
      </c>
      <c r="M6" t="s">
        <v>272</v>
      </c>
    </row>
    <row r="7" spans="1:37" x14ac:dyDescent="0.3">
      <c r="A7" s="5" t="str">
        <f t="shared" ca="1" si="0"/>
        <v/>
      </c>
      <c r="B7" s="1" t="e">
        <f ca="1">SIMUL!B11</f>
        <v>#N/A</v>
      </c>
      <c r="C7" s="5"/>
      <c r="D7" s="5"/>
      <c r="K7" t="str">
        <f t="shared" ca="1" si="1"/>
        <v/>
      </c>
      <c r="L7" t="s">
        <v>41</v>
      </c>
      <c r="M7" t="s">
        <v>273</v>
      </c>
    </row>
    <row r="8" spans="1:37" x14ac:dyDescent="0.3">
      <c r="A8" s="5" t="str">
        <f t="shared" ca="1" si="0"/>
        <v/>
      </c>
      <c r="B8" s="8">
        <v>22</v>
      </c>
      <c r="C8" s="5"/>
      <c r="D8" s="5"/>
      <c r="K8" t="str">
        <f t="shared" ca="1" si="1"/>
        <v/>
      </c>
      <c r="L8" t="s">
        <v>42</v>
      </c>
      <c r="M8" t="s">
        <v>274</v>
      </c>
    </row>
    <row r="9" spans="1:37" x14ac:dyDescent="0.3">
      <c r="A9" s="5" t="str">
        <f t="shared" ca="1" si="0"/>
        <v/>
      </c>
      <c r="B9" s="8">
        <v>22</v>
      </c>
      <c r="C9" s="5"/>
      <c r="D9" s="5"/>
      <c r="K9" t="str">
        <f t="shared" ca="1" si="1"/>
        <v/>
      </c>
      <c r="L9" t="s">
        <v>43</v>
      </c>
      <c r="M9" t="s">
        <v>275</v>
      </c>
    </row>
    <row r="10" spans="1:37" x14ac:dyDescent="0.3">
      <c r="A10" s="5" t="str">
        <f t="shared" ca="1" si="0"/>
        <v/>
      </c>
      <c r="B10" s="162" t="e">
        <f ca="1">B5*index*breuk/12</f>
        <v>#N/A</v>
      </c>
      <c r="C10" s="5" t="e">
        <f>(B5+B6)*B3/12</f>
        <v>#N/A</v>
      </c>
      <c r="D10" s="5"/>
      <c r="K10" t="str">
        <f t="shared" ca="1" si="1"/>
        <v/>
      </c>
      <c r="L10" t="s">
        <v>44</v>
      </c>
      <c r="M10" t="s">
        <v>276</v>
      </c>
    </row>
    <row r="11" spans="1:37" x14ac:dyDescent="0.3">
      <c r="A11" s="5" t="str">
        <f t="shared" ca="1" si="0"/>
        <v/>
      </c>
      <c r="B11" s="162" t="e">
        <f ca="1">ROUND(B10*0.0355,2)</f>
        <v>#N/A</v>
      </c>
      <c r="C11" s="5"/>
      <c r="D11" s="5"/>
      <c r="K11" t="str">
        <f t="shared" ca="1" si="1"/>
        <v/>
      </c>
      <c r="L11" t="s">
        <v>45</v>
      </c>
      <c r="M11" t="s">
        <v>277</v>
      </c>
    </row>
    <row r="12" spans="1:37" x14ac:dyDescent="0.3">
      <c r="A12" s="5" t="str">
        <f t="shared" ca="1" si="0"/>
        <v/>
      </c>
      <c r="B12" s="162"/>
      <c r="C12" s="5"/>
      <c r="D12" s="5"/>
      <c r="K12" t="str">
        <f t="shared" ca="1" si="1"/>
        <v/>
      </c>
      <c r="L12" t="s">
        <v>46</v>
      </c>
      <c r="M12" t="s">
        <v>278</v>
      </c>
    </row>
    <row r="13" spans="1:37" x14ac:dyDescent="0.3">
      <c r="A13" s="5"/>
      <c r="B13" s="5"/>
      <c r="C13" s="5"/>
      <c r="D13" s="5"/>
      <c r="K13" t="str">
        <f t="shared" ca="1" si="1"/>
        <v/>
      </c>
      <c r="L13" t="s">
        <v>305</v>
      </c>
      <c r="M13" t="s">
        <v>306</v>
      </c>
    </row>
    <row r="14" spans="1:37" x14ac:dyDescent="0.3">
      <c r="A14" s="5" t="str">
        <f t="shared" ca="1" si="0"/>
        <v/>
      </c>
      <c r="B14" s="9"/>
      <c r="C14" s="5"/>
      <c r="D14" s="5"/>
      <c r="K14" t="str">
        <f t="shared" ca="1" si="1"/>
        <v/>
      </c>
      <c r="L14" t="s">
        <v>137</v>
      </c>
      <c r="M14" t="s">
        <v>279</v>
      </c>
    </row>
    <row r="15" spans="1:37" x14ac:dyDescent="0.3">
      <c r="A15" s="5" t="str">
        <f t="shared" ca="1" si="0"/>
        <v/>
      </c>
      <c r="B15" s="162">
        <v>0</v>
      </c>
      <c r="C15" s="5"/>
      <c r="D15" s="5"/>
      <c r="K15" t="str">
        <f t="shared" ca="1" si="1"/>
        <v/>
      </c>
      <c r="L15" t="s">
        <v>47</v>
      </c>
      <c r="M15" t="s">
        <v>280</v>
      </c>
    </row>
    <row r="16" spans="1:37" x14ac:dyDescent="0.3">
      <c r="A16" s="5" t="str">
        <f t="shared" ca="1" si="0"/>
        <v/>
      </c>
      <c r="B16" s="162" t="e">
        <f ca="1">ROUND(B15*index*breuk*B8/(12*B9),2)</f>
        <v>#N/A</v>
      </c>
      <c r="C16" s="5"/>
      <c r="D16" s="5"/>
      <c r="K16" t="str">
        <f t="shared" ca="1" si="1"/>
        <v/>
      </c>
      <c r="L16" t="s">
        <v>48</v>
      </c>
      <c r="M16" t="s">
        <v>281</v>
      </c>
      <c r="AD16" s="261" t="s">
        <v>357</v>
      </c>
      <c r="AE16" s="261"/>
      <c r="AF16" s="261"/>
      <c r="AG16" s="261"/>
      <c r="AH16" s="261"/>
      <c r="AI16" s="261"/>
      <c r="AJ16" s="261"/>
      <c r="AK16" s="261"/>
    </row>
    <row r="17" spans="1:37" x14ac:dyDescent="0.3">
      <c r="A17" s="5"/>
      <c r="B17" s="5"/>
      <c r="C17" s="5"/>
      <c r="D17" s="5"/>
      <c r="K17" t="str">
        <f t="shared" ca="1" si="1"/>
        <v/>
      </c>
      <c r="L17" t="s">
        <v>304</v>
      </c>
      <c r="M17" t="s">
        <v>303</v>
      </c>
      <c r="AD17" s="268" t="s">
        <v>358</v>
      </c>
      <c r="AE17" s="261" t="s">
        <v>359</v>
      </c>
      <c r="AF17" s="261"/>
      <c r="AG17" s="261"/>
      <c r="AH17" s="261" t="s">
        <v>360</v>
      </c>
      <c r="AI17" s="261"/>
      <c r="AJ17" s="261"/>
    </row>
    <row r="18" spans="1:37" x14ac:dyDescent="0.3">
      <c r="A18" s="5" t="str">
        <f t="shared" ca="1" si="0"/>
        <v/>
      </c>
      <c r="B18" s="5"/>
      <c r="C18" s="5"/>
      <c r="D18" s="5"/>
      <c r="K18" t="str">
        <f t="shared" ca="1" si="1"/>
        <v/>
      </c>
      <c r="L18" t="s">
        <v>138</v>
      </c>
      <c r="M18" t="s">
        <v>282</v>
      </c>
      <c r="AD18" s="268"/>
      <c r="AE18" t="s">
        <v>361</v>
      </c>
      <c r="AF18" t="s">
        <v>189</v>
      </c>
      <c r="AG18" t="s">
        <v>362</v>
      </c>
      <c r="AH18" t="s">
        <v>361</v>
      </c>
      <c r="AI18" t="s">
        <v>189</v>
      </c>
      <c r="AJ18" t="s">
        <v>362</v>
      </c>
      <c r="AK18" t="s">
        <v>363</v>
      </c>
    </row>
    <row r="19" spans="1:37" x14ac:dyDescent="0.3">
      <c r="A19" s="5" t="str">
        <f t="shared" ca="1" si="0"/>
        <v/>
      </c>
      <c r="B19" s="5" t="e">
        <f ca="1">B10</f>
        <v>#N/A</v>
      </c>
      <c r="C19" s="5" t="e">
        <f ca="1">B19</f>
        <v>#N/A</v>
      </c>
      <c r="D19" s="5"/>
      <c r="E19" t="e">
        <f>IF(OR(SIMUL!B$38="Federale politie",SIMUL!B$38="Police fédérale"),AI19,AF19)</f>
        <v>#N/A</v>
      </c>
      <c r="F19" t="e">
        <f ca="1">ROUND(C19*E19,2)</f>
        <v>#N/A</v>
      </c>
      <c r="K19" t="str">
        <f t="shared" ca="1" si="1"/>
        <v/>
      </c>
      <c r="L19" t="s">
        <v>139</v>
      </c>
      <c r="M19" t="s">
        <v>283</v>
      </c>
      <c r="AD19">
        <f>BBSZ!E2</f>
        <v>1900</v>
      </c>
      <c r="AE19" t="e">
        <f>VLOOKUP($AD$19,BBSZ!$V4:$AC24,2,FALSE)</f>
        <v>#N/A</v>
      </c>
      <c r="AF19" t="e">
        <f>VLOOKUP($AD$19,BBSZ!$V4:$AC24,3,FALSE)</f>
        <v>#N/A</v>
      </c>
      <c r="AG19" t="e">
        <f>VLOOKUP($AD$19,BBSZ!$V4:$AC24,4,FALSE)</f>
        <v>#N/A</v>
      </c>
      <c r="AH19" t="e">
        <f>VLOOKUP($AD$19,BBSZ!$V4:$AC24,5,FALSE)</f>
        <v>#N/A</v>
      </c>
      <c r="AI19" t="e">
        <f>VLOOKUP($AD$19,BBSZ!$V4:$AC24,6,FALSE)</f>
        <v>#N/A</v>
      </c>
      <c r="AJ19" t="e">
        <f>VLOOKUP($AD$19,BBSZ!$V4:$AC24,7,FALSE)</f>
        <v>#N/A</v>
      </c>
      <c r="AK19" t="e">
        <f>VLOOKUP($AD$19,BBSZ!$V4:$AC24,8,FALSE)</f>
        <v>#N/A</v>
      </c>
    </row>
    <row r="20" spans="1:37" x14ac:dyDescent="0.3">
      <c r="A20" s="5"/>
      <c r="B20" s="5"/>
      <c r="C20" s="5"/>
      <c r="D20" s="5"/>
      <c r="E20" t="e">
        <f>AK19</f>
        <v>#N/A</v>
      </c>
      <c r="F20" t="e">
        <f ca="1">ROUND(C19*E20,2)</f>
        <v>#N/A</v>
      </c>
      <c r="K20" t="str">
        <f t="shared" ca="1" si="1"/>
        <v/>
      </c>
      <c r="L20" t="s">
        <v>307</v>
      </c>
      <c r="M20" t="s">
        <v>308</v>
      </c>
    </row>
    <row r="21" spans="1:37" x14ac:dyDescent="0.3">
      <c r="A21" s="5" t="str">
        <f t="shared" ca="1" si="0"/>
        <v/>
      </c>
      <c r="B21" s="162" t="e">
        <f ca="1">B19+B16</f>
        <v>#N/A</v>
      </c>
      <c r="C21" s="5" t="str">
        <f>SIMUL!B5</f>
        <v>Statutair</v>
      </c>
      <c r="D21" s="5"/>
      <c r="G21" s="162"/>
      <c r="K21" t="str">
        <f t="shared" ca="1" si="1"/>
        <v/>
      </c>
      <c r="L21" t="s">
        <v>59</v>
      </c>
      <c r="M21" t="s">
        <v>284</v>
      </c>
    </row>
    <row r="22" spans="1:37" x14ac:dyDescent="0.3">
      <c r="A22" s="5" t="str">
        <f t="shared" ca="1" si="0"/>
        <v/>
      </c>
      <c r="B22" s="162"/>
      <c r="C22" s="1">
        <v>7.4999999999999997E-2</v>
      </c>
      <c r="D22" s="5"/>
      <c r="K22" t="str">
        <f t="shared" ca="1" si="1"/>
        <v/>
      </c>
      <c r="L22" t="s">
        <v>58</v>
      </c>
      <c r="M22" t="s">
        <v>285</v>
      </c>
    </row>
    <row r="23" spans="1:37" x14ac:dyDescent="0.3">
      <c r="A23" s="5" t="str">
        <f t="shared" ca="1" si="0"/>
        <v/>
      </c>
      <c r="B23" s="162" t="e">
        <f ca="1">ROUND(B21*C23,2)</f>
        <v>#N/A</v>
      </c>
      <c r="C23" s="1">
        <v>3.5499999999999997E-2</v>
      </c>
      <c r="D23" s="1"/>
      <c r="K23" t="str">
        <f t="shared" ca="1" si="1"/>
        <v/>
      </c>
      <c r="L23" t="s">
        <v>140</v>
      </c>
      <c r="M23" t="s">
        <v>286</v>
      </c>
    </row>
    <row r="24" spans="1:37" x14ac:dyDescent="0.3">
      <c r="A24" s="5"/>
      <c r="B24" s="162"/>
      <c r="C24" s="1"/>
      <c r="D24" s="1"/>
      <c r="K24" t="str">
        <f t="shared" ca="1" si="1"/>
        <v/>
      </c>
      <c r="L24" t="s">
        <v>141</v>
      </c>
      <c r="M24" t="s">
        <v>287</v>
      </c>
    </row>
    <row r="25" spans="1:37" x14ac:dyDescent="0.3">
      <c r="A25" s="5" t="str">
        <f t="shared" ca="1" si="0"/>
        <v/>
      </c>
      <c r="B25" s="162" t="e">
        <f ca="1">B21-B23</f>
        <v>#N/A</v>
      </c>
      <c r="C25" s="5">
        <f>BV!B1</f>
        <v>0</v>
      </c>
      <c r="D25" s="5" t="str">
        <f ca="1">K20</f>
        <v/>
      </c>
      <c r="E25">
        <f>BV!B5</f>
        <v>0</v>
      </c>
      <c r="K25" t="str">
        <f t="shared" ca="1" si="1"/>
        <v/>
      </c>
      <c r="L25" t="s">
        <v>49</v>
      </c>
      <c r="M25" t="s">
        <v>288</v>
      </c>
    </row>
    <row r="26" spans="1:37" x14ac:dyDescent="0.3">
      <c r="A26" s="5"/>
      <c r="B26" s="5"/>
      <c r="C26" s="5" t="e">
        <f ca="1">BV!B3</f>
        <v>#N/A</v>
      </c>
      <c r="D26" s="5"/>
    </row>
    <row r="27" spans="1:37" x14ac:dyDescent="0.3">
      <c r="A27" s="5"/>
      <c r="B27" s="5"/>
      <c r="C27" s="5"/>
      <c r="D27" s="5"/>
      <c r="K27" t="str">
        <f t="shared" ca="1" si="1"/>
        <v/>
      </c>
      <c r="L27" t="s">
        <v>302</v>
      </c>
      <c r="M27" t="s">
        <v>301</v>
      </c>
    </row>
    <row r="28" spans="1:37" x14ac:dyDescent="0.3">
      <c r="A28" s="5" t="str">
        <f t="shared" ca="1" si="0"/>
        <v/>
      </c>
      <c r="B28" s="162" t="e">
        <f ca="1">IF(OR(SIMUL!B5="statutair",SIMUL!B5="statutaire"),'SIMUL SSGPI'!C19,'SIMUL SSGPI'!#REF!)</f>
        <v>#N/A</v>
      </c>
      <c r="C28" s="9"/>
      <c r="D28" s="5"/>
      <c r="E28" s="172"/>
      <c r="F28" s="10" t="str">
        <f ca="1">T29</f>
        <v/>
      </c>
      <c r="G28" s="10" t="str">
        <f ca="1">T30</f>
        <v/>
      </c>
      <c r="K28" t="str">
        <f t="shared" ca="1" si="1"/>
        <v/>
      </c>
      <c r="L28" t="s">
        <v>51</v>
      </c>
      <c r="M28" t="s">
        <v>289</v>
      </c>
      <c r="T28" t="str">
        <f t="shared" ref="T28:T30" ca="1" si="2">IF($I$1="Nederlands",U28,(IF($I$1="Français",V28,"")))</f>
        <v/>
      </c>
      <c r="U28" t="s">
        <v>309</v>
      </c>
      <c r="V28" t="s">
        <v>310</v>
      </c>
    </row>
    <row r="29" spans="1:37" x14ac:dyDescent="0.3">
      <c r="A29" s="5" t="str">
        <f t="shared" ca="1" si="0"/>
        <v/>
      </c>
      <c r="B29" s="162" t="e">
        <f ca="1">IF(OR(BBSZ!E8="alleenstaande",BBSZ!E8="Isolé(e)"),alleenst,(IF(BV!B3=Gegevenslijsten!O12,gehuwdzink,gehuwdink)))</f>
        <v>#N/A</v>
      </c>
      <c r="C29" s="5"/>
      <c r="D29" s="5"/>
      <c r="E29" s="11" t="e">
        <f ca="1">ROUND(IF(B28&lt;1945.39,0,(IF(B28&lt;2190.19,(B28-1945.38)*0.0422,(IF(B28&lt;3737.01,10.33+(B28-2190.18)*0.011,(IF(B28&lt;4100.01,27.35+(B28-3737)*0.0338,(IF(B28&lt;6038.83,39.61+(B28-4100)*0.011,60.94))))))))),2)</f>
        <v>#N/A</v>
      </c>
      <c r="F29" s="11" t="e">
        <f ca="1">ROUND(IF(B28&lt;1945.39,0,(IF(B28&lt;2190.19,(B28-1945.38)*0.059,(IF(B28&lt;6038.83,14.44+(B28-2190.18)*0.011,60.94))))),2)</f>
        <v>#N/A</v>
      </c>
      <c r="G29" s="11" t="e">
        <f ca="1">IF(AND(B28&gt;1945.38,H29&lt;5.15),5.15,(IF(H29&gt;51.64,51.64,H29)))</f>
        <v>#N/A</v>
      </c>
      <c r="H29" t="e">
        <f ca="1">ROUND(IF(B28&lt;1095.1,0,(IF(B28&lt;1945.39,5.15,(IF(B28&lt;2190.19,(B28-1945.38)*0.059,(IF(B28&lt;6038.83,14.44+(B28-2190.18)*0.011,60.94))))))),2)</f>
        <v>#N/A</v>
      </c>
      <c r="K29" t="str">
        <f t="shared" ca="1" si="1"/>
        <v/>
      </c>
      <c r="L29" t="s">
        <v>50</v>
      </c>
      <c r="M29" t="s">
        <v>290</v>
      </c>
      <c r="T29" t="str">
        <f t="shared" ca="1" si="2"/>
        <v/>
      </c>
      <c r="U29" t="s">
        <v>311</v>
      </c>
      <c r="V29" t="s">
        <v>312</v>
      </c>
    </row>
    <row r="30" spans="1:37" x14ac:dyDescent="0.3">
      <c r="A30" s="5"/>
      <c r="B30" s="5"/>
      <c r="C30" s="5"/>
      <c r="D30" s="5"/>
      <c r="K30" t="str">
        <f t="shared" ca="1" si="1"/>
        <v/>
      </c>
      <c r="L30" t="s">
        <v>300</v>
      </c>
      <c r="M30" t="s">
        <v>299</v>
      </c>
      <c r="T30" t="str">
        <f t="shared" ca="1" si="2"/>
        <v/>
      </c>
      <c r="U30" t="s">
        <v>313</v>
      </c>
      <c r="V30" t="s">
        <v>314</v>
      </c>
    </row>
    <row r="31" spans="1:37" x14ac:dyDescent="0.3">
      <c r="A31" s="5" t="str">
        <f t="shared" ca="1" si="0"/>
        <v/>
      </c>
      <c r="B31" s="14" t="e">
        <f ca="1">BV!C51</f>
        <v>#N/A</v>
      </c>
      <c r="C31" s="5" t="str">
        <f ca="1">K36</f>
        <v/>
      </c>
      <c r="D31" s="162" t="e">
        <f ca="1">B25</f>
        <v>#N/A</v>
      </c>
      <c r="K31" t="str">
        <f t="shared" ca="1" si="1"/>
        <v/>
      </c>
      <c r="L31" t="s">
        <v>52</v>
      </c>
      <c r="M31" t="s">
        <v>291</v>
      </c>
    </row>
    <row r="32" spans="1:37" x14ac:dyDescent="0.3">
      <c r="A32" s="5" t="str">
        <f t="shared" ca="1" si="0"/>
        <v/>
      </c>
      <c r="B32" s="162" t="e">
        <f ca="1">IF(OR(SIMUL!B5="contractueel",SIMUL!B5="contractuel(le)"),0,(IF(D31&lt;2256.98,D32,0)))</f>
        <v>#N/A</v>
      </c>
      <c r="C32" s="5"/>
      <c r="D32" s="5"/>
      <c r="K32" t="str">
        <f t="shared" ca="1" si="1"/>
        <v/>
      </c>
      <c r="L32" t="s">
        <v>143</v>
      </c>
      <c r="M32" t="s">
        <v>292</v>
      </c>
    </row>
    <row r="33" spans="1:13" x14ac:dyDescent="0.3">
      <c r="A33" s="5" t="str">
        <f t="shared" ca="1" si="0"/>
        <v/>
      </c>
      <c r="B33" s="162">
        <f>BV!C45</f>
        <v>0</v>
      </c>
      <c r="C33" s="5"/>
      <c r="D33" s="5"/>
      <c r="K33" t="str">
        <f t="shared" ca="1" si="1"/>
        <v/>
      </c>
      <c r="L33" t="s">
        <v>142</v>
      </c>
      <c r="M33" t="s">
        <v>293</v>
      </c>
    </row>
    <row r="34" spans="1:13" x14ac:dyDescent="0.3">
      <c r="A34" s="5" t="str">
        <f t="shared" ca="1" si="0"/>
        <v/>
      </c>
      <c r="B34" s="162">
        <v>0</v>
      </c>
      <c r="C34" s="5"/>
      <c r="D34" s="5"/>
      <c r="K34" t="str">
        <f t="shared" ca="1" si="1"/>
        <v/>
      </c>
      <c r="L34" t="s">
        <v>53</v>
      </c>
      <c r="M34" t="s">
        <v>294</v>
      </c>
    </row>
    <row r="35" spans="1:13" x14ac:dyDescent="0.3">
      <c r="A35" s="5" t="str">
        <f t="shared" ca="1" si="0"/>
        <v/>
      </c>
      <c r="B35" s="162" t="e">
        <f ca="1">IF(B31-B32-B33-B34&lt;0,0,B31-B32-B33-B34)</f>
        <v>#N/A</v>
      </c>
      <c r="C35" s="5"/>
      <c r="D35" s="5"/>
      <c r="K35" t="str">
        <f t="shared" ca="1" si="1"/>
        <v/>
      </c>
      <c r="L35" t="s">
        <v>54</v>
      </c>
      <c r="M35" s="47" t="s">
        <v>295</v>
      </c>
    </row>
    <row r="36" spans="1:13" x14ac:dyDescent="0.3">
      <c r="A36" s="5"/>
      <c r="B36" s="5"/>
      <c r="C36" s="5"/>
      <c r="D36" s="5"/>
      <c r="K36" t="str">
        <f t="shared" ca="1" si="1"/>
        <v/>
      </c>
      <c r="L36" t="s">
        <v>60</v>
      </c>
      <c r="M36" t="s">
        <v>298</v>
      </c>
    </row>
    <row r="37" spans="1:13" x14ac:dyDescent="0.3">
      <c r="A37" s="5" t="str">
        <f t="shared" ref="A37" ca="1" si="3">K37</f>
        <v/>
      </c>
      <c r="B37" s="162" t="e">
        <f ca="1">B25-B29-B35</f>
        <v>#N/A</v>
      </c>
      <c r="C37" s="5"/>
      <c r="D37" s="5"/>
      <c r="K37" t="str">
        <f t="shared" ref="K37:K41" ca="1" si="4">IF($I$1="Nederlands",L37,(IF($I$1="Français",M37,"")))</f>
        <v/>
      </c>
      <c r="L37" t="s">
        <v>55</v>
      </c>
      <c r="M37" t="s">
        <v>296</v>
      </c>
    </row>
    <row r="40" spans="1:13" x14ac:dyDescent="0.3">
      <c r="A40" s="12" t="str">
        <f ca="1">K40</f>
        <v/>
      </c>
      <c r="B40" s="13">
        <f>IF($B$5&lt;16100.01,720,(IF($B$5&lt;16489.19,((16489.18-$B$5)*0.925)+360,(IF($B$5&lt;18330.01,360,(IF($B$5&lt;18719.19,(18719.18-$B$5)*0.925,0)))))))</f>
        <v>720</v>
      </c>
      <c r="K40" t="str">
        <f t="shared" ca="1" si="4"/>
        <v/>
      </c>
      <c r="L40" t="s">
        <v>61</v>
      </c>
      <c r="M40" t="s">
        <v>297</v>
      </c>
    </row>
    <row r="41" spans="1:13" x14ac:dyDescent="0.3">
      <c r="A41" s="12" t="str">
        <f ca="1">K41</f>
        <v/>
      </c>
      <c r="B41" s="13">
        <f>IF($B$5&lt;16100.01,360,(IF($B$5&lt;16294.6,((16294.59-$B$5)*0.925)+180,(IF($B$5&lt;18330.01,180,(IF($B$5&lt;18524.6,(18524.59-$B$5)*0.925,0)))))))</f>
        <v>360</v>
      </c>
      <c r="K41" t="str">
        <f t="shared" ca="1" si="4"/>
        <v/>
      </c>
      <c r="L41" t="s">
        <v>62</v>
      </c>
      <c r="M41" t="s">
        <v>259</v>
      </c>
    </row>
  </sheetData>
  <sheetProtection algorithmName="SHA-512" hashValue="DupT+D0Nff35Feq6u5IheBBFdA+IvkIMLi0dBgmvcqYjkUe3uT8JfhXTOD5Vn3xxuop0J7uy/x5rblWERF4b0g==" saltValue="jaKmRwTxM9t8AAUsJM7PKw==" spinCount="100000" sheet="1" selectLockedCells="1" autoFilter="0" selectUnlockedCells="1"/>
  <mergeCells count="4">
    <mergeCell ref="AD16:AK16"/>
    <mergeCell ref="AD17:AD18"/>
    <mergeCell ref="AE17:AG17"/>
    <mergeCell ref="AH17:AJ17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workbookViewId="0">
      <selection activeCell="B19" sqref="B19"/>
    </sheetView>
  </sheetViews>
  <sheetFormatPr defaultRowHeight="14.4" x14ac:dyDescent="0.3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 x14ac:dyDescent="0.3">
      <c r="A1" t="s">
        <v>11</v>
      </c>
      <c r="B1" s="3">
        <f>SIMUL!B15</f>
        <v>0</v>
      </c>
      <c r="M1" t="e">
        <f ca="1">VLOOKUP(B1,Gegevenslijsten!A2:B7,2,FALSE)</f>
        <v>#N/A</v>
      </c>
      <c r="Z1" s="4">
        <v>45716</v>
      </c>
    </row>
    <row r="2" spans="1:26" x14ac:dyDescent="0.3">
      <c r="A2" t="s">
        <v>13</v>
      </c>
      <c r="B2" s="3">
        <f>SIMUL!B16</f>
        <v>0</v>
      </c>
      <c r="Z2" s="4">
        <f ca="1">TODAY()</f>
        <v>45558</v>
      </c>
    </row>
    <row r="3" spans="1:26" x14ac:dyDescent="0.3">
      <c r="A3" t="e">
        <f ca="1">IF(M1&lt;3,"Inkomsten partner:","")</f>
        <v>#N/A</v>
      </c>
      <c r="B3" s="3" t="e">
        <f ca="1">IF(M1&gt;2,"",SIMUL!B17)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 x14ac:dyDescent="0.3">
      <c r="A4" t="e">
        <f ca="1">IF(M1&lt;3,"is uw partner mindervalide?","")</f>
        <v>#N/A</v>
      </c>
      <c r="B4" s="3" t="e">
        <f ca="1">IF(M1&gt;2,"",SIMUL!B18)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 x14ac:dyDescent="0.3">
      <c r="A5" t="s">
        <v>20</v>
      </c>
      <c r="B5" s="3">
        <f>SIMUL!B19</f>
        <v>0</v>
      </c>
      <c r="H5" t="e">
        <f ca="1">H3+H4</f>
        <v>#N/A</v>
      </c>
    </row>
    <row r="6" spans="1:26" x14ac:dyDescent="0.3">
      <c r="A6" t="s">
        <v>21</v>
      </c>
      <c r="B6" s="3">
        <f>SIMUL!B20</f>
        <v>0</v>
      </c>
      <c r="M6" t="str">
        <f>IF(B6&gt;B5,"KAN NIET MEER ZIJN DAN HET TOTAAL AANTAL KINDEREN TEN LASTE","")</f>
        <v/>
      </c>
    </row>
    <row r="7" spans="1:26" x14ac:dyDescent="0.3">
      <c r="A7" t="s">
        <v>22</v>
      </c>
      <c r="B7" s="3">
        <f>SIMUL!B21</f>
        <v>0</v>
      </c>
    </row>
    <row r="8" spans="1:26" x14ac:dyDescent="0.3">
      <c r="A8" t="s">
        <v>24</v>
      </c>
      <c r="B8" s="3">
        <f>IF(OR(SIMUL!B22="ja",SIMUL!B22="oui"),SIMUL!B23,0)</f>
        <v>0</v>
      </c>
      <c r="M8" t="str">
        <f>IF(B8&gt;B7,"KAN NIET MEER ZIJN DAN HET TOTAAL AANTAL KINDEREN TEN LASTE","")</f>
        <v/>
      </c>
    </row>
    <row r="9" spans="1:26" x14ac:dyDescent="0.3">
      <c r="A9" t="s">
        <v>351</v>
      </c>
      <c r="B9" s="3">
        <f>IF(OR(SIMUL!B22="ja",SIMUL!B22="oui"),SIMUL!B24,0)</f>
        <v>0</v>
      </c>
    </row>
    <row r="10" spans="1:26" x14ac:dyDescent="0.3">
      <c r="A10" t="s">
        <v>23</v>
      </c>
      <c r="B10" s="3">
        <f>SIMUL!B25</f>
        <v>0</v>
      </c>
    </row>
    <row r="11" spans="1:26" x14ac:dyDescent="0.3">
      <c r="A11" t="s">
        <v>25</v>
      </c>
      <c r="B11" s="3">
        <f>SIMUL!B26</f>
        <v>0</v>
      </c>
      <c r="M11" t="str">
        <f>IF(B11&gt;B10,"KAN NIET MEER ZIJN DAN HET TOTAAL AANTAL KINDEREN TEN LASTE","")</f>
        <v/>
      </c>
    </row>
    <row r="12" spans="1:26" x14ac:dyDescent="0.3">
      <c r="B12" s="3"/>
    </row>
    <row r="13" spans="1:26" x14ac:dyDescent="0.3">
      <c r="A13" t="s">
        <v>34</v>
      </c>
      <c r="B13" s="3"/>
    </row>
    <row r="14" spans="1:26" x14ac:dyDescent="0.3">
      <c r="A14" t="s">
        <v>35</v>
      </c>
      <c r="B14" s="3" t="str">
        <f>SIMUL!B5</f>
        <v>Statutair</v>
      </c>
      <c r="M14">
        <v>2</v>
      </c>
      <c r="Z14" s="4"/>
    </row>
    <row r="15" spans="1:26" x14ac:dyDescent="0.3">
      <c r="A15" t="str">
        <f>IF(M14=1,"Geniet u een werkbonus: bedrag werkbonus","")</f>
        <v/>
      </c>
      <c r="B15" s="3">
        <f>IF( OR(B14="contractueel",B14="contractuel(le)"),'SIMUL SSGPI'!B24,0)</f>
        <v>0</v>
      </c>
    </row>
    <row r="16" spans="1:26" x14ac:dyDescent="0.3">
      <c r="B16" s="3"/>
    </row>
    <row r="17" spans="1:13" x14ac:dyDescent="0.3">
      <c r="A17" t="s">
        <v>0</v>
      </c>
      <c r="B17" s="3" t="e">
        <f ca="1">'SIMUL SSGPI'!B25</f>
        <v>#N/A</v>
      </c>
    </row>
    <row r="18" spans="1:13" x14ac:dyDescent="0.3">
      <c r="A18" t="s">
        <v>2</v>
      </c>
      <c r="B18" t="e">
        <f ca="1">ROUND(B17*12,2)</f>
        <v>#N/A</v>
      </c>
    </row>
    <row r="19" spans="1:13" x14ac:dyDescent="0.3">
      <c r="A19" t="s">
        <v>3</v>
      </c>
      <c r="B19">
        <v>0</v>
      </c>
    </row>
    <row r="20" spans="1:13" x14ac:dyDescent="0.3">
      <c r="C20" t="e">
        <f ca="1">ROUND(IF(B21&gt;43533.33,13060,B21*0.3),2)</f>
        <v>#N/A</v>
      </c>
    </row>
    <row r="21" spans="1:13" x14ac:dyDescent="0.3">
      <c r="A21" t="s">
        <v>36</v>
      </c>
      <c r="B21" t="e">
        <f ca="1">B18-B19</f>
        <v>#N/A</v>
      </c>
      <c r="C21" t="e">
        <f ca="1">B21-C20</f>
        <v>#N/A</v>
      </c>
    </row>
    <row r="23" spans="1:13" x14ac:dyDescent="0.3">
      <c r="A23" t="s">
        <v>1</v>
      </c>
      <c r="D23" t="s">
        <v>8</v>
      </c>
    </row>
    <row r="24" spans="1:13" x14ac:dyDescent="0.3">
      <c r="A24" t="s">
        <v>320</v>
      </c>
      <c r="B24" s="1">
        <v>0.26750000000000002</v>
      </c>
      <c r="C24" t="e">
        <f ca="1">ROUND(IF(B21&gt;15830,15830*B24,B21*B24),2)</f>
        <v>#N/A</v>
      </c>
      <c r="D24" t="e">
        <f ca="1">ROUND(IF(C21&gt;15830,15830*B24,C21*B24)+(C20*B24),2)</f>
        <v>#N/A</v>
      </c>
    </row>
    <row r="25" spans="1:13" x14ac:dyDescent="0.3">
      <c r="A25" t="s">
        <v>321</v>
      </c>
      <c r="B25" s="1">
        <v>0.42799999999999999</v>
      </c>
      <c r="C25" t="e">
        <f ca="1">ROUND(IF(B21&lt;15830.01,0,(IF(B21&gt;27940,(27940-15830)*B25,(B21-15830)*B25))),2)</f>
        <v>#N/A</v>
      </c>
      <c r="D25" t="e">
        <f ca="1">ROUND(IF(C21&lt;15830.01,0,(IF(C21&gt;27940,(27940-15830)*B25,(C21-15830)*B25))),2)</f>
        <v>#N/A</v>
      </c>
    </row>
    <row r="26" spans="1:13" x14ac:dyDescent="0.3">
      <c r="A26" t="s">
        <v>322</v>
      </c>
      <c r="B26" s="1">
        <v>0.48149999999999998</v>
      </c>
      <c r="C26" t="e">
        <f ca="1">ROUND(IF(B21&lt;27940.01,0,(IF(B21&gt;48350,(48350-27940)*B26,(B21-27940)*B26))),2)</f>
        <v>#N/A</v>
      </c>
      <c r="D26" t="e">
        <f ca="1">ROUND(IF(C21&lt;27940.01,0,(IF(C21&gt;48350,(48350-27940)*B26,(C21-27940)*B26))),2)</f>
        <v>#N/A</v>
      </c>
    </row>
    <row r="27" spans="1:13" x14ac:dyDescent="0.3">
      <c r="A27" t="s">
        <v>323</v>
      </c>
      <c r="B27" s="1">
        <v>0.53500000000000003</v>
      </c>
      <c r="C27" t="e">
        <f ca="1">ROUND(IF(B21&lt;48350.01,0,(B21-48350)*B27),2)</f>
        <v>#N/A</v>
      </c>
      <c r="D27" t="e">
        <f ca="1">ROUND(IF(C21&lt;48350.01,0,(C21-48350)*B27),2)</f>
        <v>#N/A</v>
      </c>
    </row>
    <row r="28" spans="1:13" x14ac:dyDescent="0.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 x14ac:dyDescent="0.3">
      <c r="L29">
        <v>0</v>
      </c>
      <c r="M29">
        <v>0</v>
      </c>
    </row>
    <row r="30" spans="1:13" x14ac:dyDescent="0.3">
      <c r="A30" t="s">
        <v>5</v>
      </c>
      <c r="L30">
        <v>1</v>
      </c>
      <c r="M30">
        <v>588</v>
      </c>
    </row>
    <row r="31" spans="1:13" x14ac:dyDescent="0.3">
      <c r="A31" t="s">
        <v>7</v>
      </c>
      <c r="B31" s="47">
        <v>2830.15</v>
      </c>
      <c r="C31" t="e">
        <f ca="1">IF(M3=1,0,B31)</f>
        <v>#N/A</v>
      </c>
      <c r="L31">
        <v>2</v>
      </c>
      <c r="M31">
        <v>1572</v>
      </c>
    </row>
    <row r="32" spans="1:13" x14ac:dyDescent="0.3">
      <c r="A32" t="s">
        <v>319</v>
      </c>
      <c r="B32" s="47">
        <v>5660.3</v>
      </c>
      <c r="C32" t="e">
        <f ca="1">IF(M3=1,B32,0)</f>
        <v>#N/A</v>
      </c>
      <c r="L32">
        <v>3</v>
      </c>
      <c r="M32">
        <v>4164</v>
      </c>
    </row>
    <row r="33" spans="1:13" x14ac:dyDescent="0.3">
      <c r="A33" t="s">
        <v>326</v>
      </c>
      <c r="B33" s="47">
        <v>3288</v>
      </c>
      <c r="C33" t="e">
        <f ca="1">IF(M3=3,B33,0)</f>
        <v>#N/A</v>
      </c>
      <c r="L33">
        <v>4</v>
      </c>
      <c r="M33">
        <v>7212</v>
      </c>
    </row>
    <row r="34" spans="1:13" x14ac:dyDescent="0.3">
      <c r="A34" t="s">
        <v>325</v>
      </c>
      <c r="B34">
        <v>1650</v>
      </c>
      <c r="C34" t="e">
        <f ca="1">IF(M3=2,B34,0)</f>
        <v>#N/A</v>
      </c>
      <c r="L34">
        <v>5</v>
      </c>
      <c r="M34">
        <v>10512</v>
      </c>
    </row>
    <row r="35" spans="1:13" x14ac:dyDescent="0.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13812</v>
      </c>
    </row>
    <row r="36" spans="1:13" x14ac:dyDescent="0.3">
      <c r="A36" t="s">
        <v>6</v>
      </c>
      <c r="B36" s="171">
        <v>0</v>
      </c>
      <c r="C36" t="e">
        <f ca="1">IF(M1&gt;2,B36,0)</f>
        <v>#N/A</v>
      </c>
      <c r="L36">
        <v>7</v>
      </c>
      <c r="M36">
        <v>17148</v>
      </c>
    </row>
    <row r="37" spans="1:13" x14ac:dyDescent="0.3">
      <c r="A37" t="s">
        <v>16</v>
      </c>
      <c r="B37">
        <v>588</v>
      </c>
      <c r="C37" t="e">
        <f ca="1">IF(M1&lt;3,0,(IF(B35&gt;0,B37,0)))</f>
        <v>#N/A</v>
      </c>
      <c r="L37">
        <v>8</v>
      </c>
      <c r="M37">
        <v>20808</v>
      </c>
    </row>
    <row r="38" spans="1:13" x14ac:dyDescent="0.3">
      <c r="A38" t="s">
        <v>17</v>
      </c>
      <c r="B38" t="e">
        <f ca="1">IF(C32&gt;0,588,0)</f>
        <v>#N/A</v>
      </c>
      <c r="C38">
        <f>IF(OR(B2="ja",B2="oui"),B38,0)</f>
        <v>0</v>
      </c>
      <c r="L38">
        <v>9</v>
      </c>
      <c r="M38">
        <f>IF(B35&gt;8,M37+(B35-8)*3660,0)</f>
        <v>0</v>
      </c>
    </row>
    <row r="39" spans="1:13" x14ac:dyDescent="0.3">
      <c r="A39" t="s">
        <v>18</v>
      </c>
      <c r="B39" s="47">
        <v>588</v>
      </c>
      <c r="C39" t="e">
        <f ca="1">IF(M3&gt;1,0,(IF(M4=1,B39,0)))</f>
        <v>#N/A</v>
      </c>
    </row>
    <row r="40" spans="1:13" x14ac:dyDescent="0.3">
      <c r="A40" t="s">
        <v>26</v>
      </c>
      <c r="B40">
        <f>IF((B7-B8-B9)&lt;0,"kan niet",B7-B8-B9)</f>
        <v>0</v>
      </c>
      <c r="C40">
        <f>B40*K40</f>
        <v>0</v>
      </c>
      <c r="K40">
        <v>1212</v>
      </c>
    </row>
    <row r="41" spans="1:13" x14ac:dyDescent="0.3">
      <c r="A41" t="s">
        <v>27</v>
      </c>
      <c r="B41">
        <f>B8</f>
        <v>0</v>
      </c>
      <c r="C41">
        <f>B41*K41</f>
        <v>0</v>
      </c>
      <c r="K41">
        <f>2*K40</f>
        <v>2424</v>
      </c>
    </row>
    <row r="42" spans="1:13" x14ac:dyDescent="0.3">
      <c r="A42" t="s">
        <v>324</v>
      </c>
      <c r="B42">
        <f>B9</f>
        <v>0</v>
      </c>
      <c r="C42">
        <f>B42*K42</f>
        <v>0</v>
      </c>
      <c r="K42">
        <v>1884</v>
      </c>
    </row>
    <row r="43" spans="1:13" x14ac:dyDescent="0.3">
      <c r="A43" t="s">
        <v>28</v>
      </c>
      <c r="B43">
        <f>B10+B11</f>
        <v>0</v>
      </c>
      <c r="C43">
        <f>B43*K43</f>
        <v>0</v>
      </c>
      <c r="K43">
        <v>588</v>
      </c>
    </row>
    <row r="44" spans="1:13" x14ac:dyDescent="0.3">
      <c r="A44" t="s">
        <v>341</v>
      </c>
      <c r="B44" t="e">
        <f ca="1">ROUND(IF(C32=0,F44,G44),2)</f>
        <v>#N/A</v>
      </c>
      <c r="C44" t="e">
        <f ca="1">IF(M14=2,B44,0)</f>
        <v>#N/A</v>
      </c>
      <c r="F44" t="e">
        <f ca="1">IF(B21&lt;27920,2202,(IF(B21&lt;55840,(2202*1/3)+(2/3*2202*((55840-B21)/27920)),2202/3)))</f>
        <v>#N/A</v>
      </c>
      <c r="G44" t="e">
        <f ca="1">IF(C21&lt;27920,2202,(IF(C21&lt;55840,(2202*1/3)+(2/3*2202*((55840-C21)/27920)),2202/3)))</f>
        <v>#N/A</v>
      </c>
    </row>
    <row r="45" spans="1:13" x14ac:dyDescent="0.3">
      <c r="A45" t="s">
        <v>33</v>
      </c>
      <c r="C45">
        <f>B45</f>
        <v>0</v>
      </c>
    </row>
    <row r="46" spans="1:13" x14ac:dyDescent="0.3">
      <c r="A46" t="s">
        <v>29</v>
      </c>
      <c r="C46" t="e">
        <f ca="1">SUM(C31:C44)</f>
        <v>#N/A</v>
      </c>
    </row>
    <row r="48" spans="1:13" x14ac:dyDescent="0.3">
      <c r="A48" t="s">
        <v>4</v>
      </c>
      <c r="C48" t="e">
        <f ca="1">IF(M3=1,D28,C28)</f>
        <v>#N/A</v>
      </c>
    </row>
    <row r="49" spans="1:5" x14ac:dyDescent="0.3">
      <c r="A49" t="s">
        <v>30</v>
      </c>
      <c r="C49" t="e">
        <f ca="1">C46</f>
        <v>#N/A</v>
      </c>
    </row>
    <row r="50" spans="1:5" x14ac:dyDescent="0.3">
      <c r="A50" t="s">
        <v>31</v>
      </c>
      <c r="C50" t="e">
        <f ca="1">IF((C48-C49)&lt;0,0,(C48-C49))</f>
        <v>#N/A</v>
      </c>
    </row>
    <row r="51" spans="1:5" x14ac:dyDescent="0.3">
      <c r="A51" t="s">
        <v>32</v>
      </c>
      <c r="C51" t="e">
        <f ca="1">IF(H5&gt;0,"error",(ROUND(C50/12,2)))</f>
        <v>#N/A</v>
      </c>
    </row>
    <row r="52" spans="1:5" x14ac:dyDescent="0.3">
      <c r="A52" t="s">
        <v>37</v>
      </c>
      <c r="C52">
        <f>B45</f>
        <v>0</v>
      </c>
    </row>
    <row r="56" spans="1:5" x14ac:dyDescent="0.3">
      <c r="C56" s="10"/>
      <c r="D56" s="10"/>
      <c r="E56" s="10"/>
    </row>
    <row r="57" spans="1:5" x14ac:dyDescent="0.3">
      <c r="C57" s="10"/>
      <c r="D57" s="10"/>
      <c r="E57" s="10"/>
    </row>
    <row r="58" spans="1:5" x14ac:dyDescent="0.3">
      <c r="C58" s="10"/>
      <c r="D58" s="10"/>
      <c r="E58" s="10"/>
    </row>
    <row r="59" spans="1:5" x14ac:dyDescent="0.3">
      <c r="C59" s="10"/>
      <c r="D59" s="10"/>
      <c r="E59" s="10"/>
    </row>
  </sheetData>
  <sheetProtection algorithmName="SHA-512" hashValue="uFtOTGzE71nCN64U3k048Idp3HqCCZHw0w60WWTQfz3Cxed/6J9b4SvX4AR2Gk5XEanSEIUR7WNCzDwZHHqz3Q==" saltValue="kC8RJaCfj2resHdVFUhTj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51"/>
  <sheetViews>
    <sheetView workbookViewId="0">
      <selection activeCell="B19" sqref="B19"/>
    </sheetView>
  </sheetViews>
  <sheetFormatPr defaultRowHeight="14.4" x14ac:dyDescent="0.3"/>
  <cols>
    <col min="1" max="1" width="76" bestFit="1" customWidth="1"/>
    <col min="6" max="6" width="11.33203125" customWidth="1"/>
    <col min="12" max="12" width="10.5546875" bestFit="1" customWidth="1"/>
    <col min="14" max="14" width="75.6640625" bestFit="1" customWidth="1"/>
    <col min="16" max="16" width="82.6640625" bestFit="1" customWidth="1"/>
  </cols>
  <sheetData>
    <row r="1" spans="1:17" x14ac:dyDescent="0.3">
      <c r="A1" t="s">
        <v>12</v>
      </c>
      <c r="D1" t="s">
        <v>217</v>
      </c>
      <c r="H1" t="s">
        <v>9</v>
      </c>
      <c r="L1" s="4">
        <v>36983</v>
      </c>
      <c r="N1" t="s">
        <v>257</v>
      </c>
    </row>
    <row r="2" spans="1:17" x14ac:dyDescent="0.3">
      <c r="A2" t="str">
        <f ca="1">O2</f>
        <v/>
      </c>
      <c r="B2">
        <v>1</v>
      </c>
      <c r="D2" s="2" t="s">
        <v>19</v>
      </c>
      <c r="E2">
        <v>2</v>
      </c>
      <c r="H2">
        <v>0</v>
      </c>
      <c r="N2" t="s">
        <v>258</v>
      </c>
      <c r="O2" t="str">
        <f ca="1">IF($N$3="Nederlands",P2,(IF($N$3="Français",Q2,"")))</f>
        <v/>
      </c>
      <c r="P2" t="s">
        <v>211</v>
      </c>
      <c r="Q2" t="s">
        <v>262</v>
      </c>
    </row>
    <row r="3" spans="1:17" x14ac:dyDescent="0.3">
      <c r="A3" t="str">
        <f t="shared" ref="A3:A7" ca="1" si="0">O3</f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ref="O3:O7" ca="1" si="1">IF($N$3="Nederlands",P3,(IF($N$3="Français",Q3,"")))</f>
        <v/>
      </c>
      <c r="P3" t="s">
        <v>212</v>
      </c>
      <c r="Q3" t="s">
        <v>263</v>
      </c>
    </row>
    <row r="4" spans="1:17" x14ac:dyDescent="0.3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45536</v>
      </c>
      <c r="O4" t="str">
        <f t="shared" ca="1" si="1"/>
        <v/>
      </c>
      <c r="P4" t="s">
        <v>213</v>
      </c>
      <c r="Q4" t="s">
        <v>318</v>
      </c>
    </row>
    <row r="5" spans="1:17" x14ac:dyDescent="0.3">
      <c r="A5" t="str">
        <f t="shared" ca="1" si="0"/>
        <v/>
      </c>
      <c r="B5">
        <v>4</v>
      </c>
      <c r="H5">
        <v>3</v>
      </c>
      <c r="L5" s="4">
        <f ca="1">DATE(YEAR(L4),(MONTH(L4)+1),1)</f>
        <v>45566</v>
      </c>
      <c r="O5" t="str">
        <f t="shared" ca="1" si="1"/>
        <v/>
      </c>
      <c r="P5" t="s">
        <v>214</v>
      </c>
      <c r="Q5" t="s">
        <v>264</v>
      </c>
    </row>
    <row r="6" spans="1:17" x14ac:dyDescent="0.3">
      <c r="A6" t="str">
        <f t="shared" ca="1" si="0"/>
        <v/>
      </c>
      <c r="B6">
        <v>5</v>
      </c>
      <c r="H6">
        <v>4</v>
      </c>
      <c r="L6" s="4">
        <f t="shared" ref="L6:L7" ca="1" si="2">DATE(YEAR(L5),(MONTH(L5)+1),1)</f>
        <v>45597</v>
      </c>
      <c r="O6" t="str">
        <f t="shared" ca="1" si="1"/>
        <v/>
      </c>
      <c r="P6" t="s">
        <v>215</v>
      </c>
      <c r="Q6" t="s">
        <v>317</v>
      </c>
    </row>
    <row r="7" spans="1:17" x14ac:dyDescent="0.3">
      <c r="A7" t="str">
        <f t="shared" ca="1" si="0"/>
        <v/>
      </c>
      <c r="B7">
        <v>6</v>
      </c>
      <c r="H7">
        <v>5</v>
      </c>
      <c r="L7" s="4">
        <f t="shared" ca="1" si="2"/>
        <v>45627</v>
      </c>
      <c r="O7" t="str">
        <f t="shared" ca="1" si="1"/>
        <v/>
      </c>
      <c r="P7" t="s">
        <v>216</v>
      </c>
      <c r="Q7" t="s">
        <v>265</v>
      </c>
    </row>
    <row r="8" spans="1:17" x14ac:dyDescent="0.3">
      <c r="H8">
        <v>6</v>
      </c>
      <c r="L8" s="4"/>
    </row>
    <row r="9" spans="1:17" x14ac:dyDescent="0.3">
      <c r="H9">
        <v>7</v>
      </c>
    </row>
    <row r="10" spans="1:17" x14ac:dyDescent="0.3">
      <c r="A10" t="str">
        <f ca="1">O10</f>
        <v/>
      </c>
      <c r="H10">
        <v>8</v>
      </c>
      <c r="O10" t="str">
        <f t="shared" ref="O10" ca="1" si="3">IF($N$3="Nederlands",P10,(IF($N$3="Français",Q10,"")))</f>
        <v/>
      </c>
      <c r="P10" t="s">
        <v>14</v>
      </c>
      <c r="Q10" t="s">
        <v>266</v>
      </c>
    </row>
    <row r="11" spans="1:17" x14ac:dyDescent="0.3">
      <c r="A11" s="2" t="s">
        <v>19</v>
      </c>
      <c r="B11">
        <v>0</v>
      </c>
      <c r="H11">
        <v>9</v>
      </c>
      <c r="P11" t="s">
        <v>19</v>
      </c>
    </row>
    <row r="12" spans="1:17" x14ac:dyDescent="0.3">
      <c r="A12" t="str">
        <f ca="1">O12</f>
        <v/>
      </c>
      <c r="B12">
        <v>1</v>
      </c>
      <c r="H12">
        <v>10</v>
      </c>
      <c r="O12" t="str">
        <f t="shared" ref="O12:O18" ca="1" si="4">IF($N$3="Nederlands",P12,(IF($N$3="Français",Q12,"")))</f>
        <v/>
      </c>
      <c r="P12" t="s">
        <v>15</v>
      </c>
      <c r="Q12" t="s">
        <v>267</v>
      </c>
    </row>
    <row r="13" spans="1:17" x14ac:dyDescent="0.3">
      <c r="A13" t="str">
        <f t="shared" ref="A13:A18" ca="1" si="5">O13</f>
        <v/>
      </c>
      <c r="B13">
        <v>2</v>
      </c>
      <c r="H13">
        <v>11</v>
      </c>
      <c r="O13" t="str">
        <f t="shared" ca="1" si="4"/>
        <v/>
      </c>
      <c r="P13" t="s">
        <v>327</v>
      </c>
      <c r="Q13" t="s">
        <v>332</v>
      </c>
    </row>
    <row r="14" spans="1:17" x14ac:dyDescent="0.3">
      <c r="A14" t="str">
        <f t="shared" ca="1" si="5"/>
        <v/>
      </c>
      <c r="B14">
        <v>4</v>
      </c>
      <c r="H14">
        <v>12</v>
      </c>
      <c r="O14" t="str">
        <f t="shared" ca="1" si="4"/>
        <v/>
      </c>
      <c r="P14" t="s">
        <v>328</v>
      </c>
      <c r="Q14" t="s">
        <v>333</v>
      </c>
    </row>
    <row r="15" spans="1:17" x14ac:dyDescent="0.3">
      <c r="A15" t="str">
        <f t="shared" ca="1" si="5"/>
        <v/>
      </c>
      <c r="B15">
        <v>1</v>
      </c>
      <c r="H15">
        <v>13</v>
      </c>
      <c r="O15" t="str">
        <f t="shared" ca="1" si="4"/>
        <v/>
      </c>
      <c r="P15" t="s">
        <v>329</v>
      </c>
      <c r="Q15" t="s">
        <v>334</v>
      </c>
    </row>
    <row r="16" spans="1:17" x14ac:dyDescent="0.3">
      <c r="A16" t="str">
        <f t="shared" ca="1" si="5"/>
        <v/>
      </c>
      <c r="B16">
        <v>3</v>
      </c>
      <c r="H16">
        <v>14</v>
      </c>
      <c r="O16" t="str">
        <f t="shared" ca="1" si="4"/>
        <v/>
      </c>
      <c r="P16" t="s">
        <v>330</v>
      </c>
      <c r="Q16" t="s">
        <v>335</v>
      </c>
    </row>
    <row r="17" spans="1:17" x14ac:dyDescent="0.3">
      <c r="A17" t="str">
        <f t="shared" ca="1" si="5"/>
        <v/>
      </c>
      <c r="B17">
        <v>4</v>
      </c>
      <c r="H17">
        <v>15</v>
      </c>
      <c r="O17" t="str">
        <f t="shared" ca="1" si="4"/>
        <v/>
      </c>
      <c r="P17" t="s">
        <v>331</v>
      </c>
      <c r="Q17" t="s">
        <v>336</v>
      </c>
    </row>
    <row r="18" spans="1:17" x14ac:dyDescent="0.3">
      <c r="A18" t="str">
        <f t="shared" ca="1" si="5"/>
        <v/>
      </c>
      <c r="B18">
        <v>1</v>
      </c>
      <c r="H18">
        <v>16</v>
      </c>
      <c r="O18" t="str">
        <f t="shared" ca="1" si="4"/>
        <v/>
      </c>
      <c r="P18" t="s">
        <v>339</v>
      </c>
      <c r="Q18" t="s">
        <v>338</v>
      </c>
    </row>
    <row r="19" spans="1:17" x14ac:dyDescent="0.3">
      <c r="H19">
        <v>17</v>
      </c>
    </row>
    <row r="20" spans="1:17" x14ac:dyDescent="0.3">
      <c r="H20">
        <v>18</v>
      </c>
    </row>
    <row r="21" spans="1:17" x14ac:dyDescent="0.3">
      <c r="A21" t="s">
        <v>218</v>
      </c>
      <c r="H21">
        <v>19</v>
      </c>
    </row>
    <row r="22" spans="1:17" x14ac:dyDescent="0.3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 x14ac:dyDescent="0.3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 x14ac:dyDescent="0.3">
      <c r="H24">
        <v>22</v>
      </c>
    </row>
    <row r="25" spans="1:17" x14ac:dyDescent="0.3">
      <c r="A25" t="s">
        <v>219</v>
      </c>
      <c r="H25">
        <v>23</v>
      </c>
    </row>
    <row r="26" spans="1:17" x14ac:dyDescent="0.3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260</v>
      </c>
      <c r="P26" t="s">
        <v>261</v>
      </c>
    </row>
    <row r="27" spans="1:17" x14ac:dyDescent="0.3">
      <c r="A27" t="str">
        <f ca="1">IF($N$3="","",(IF($N$3="Nederlands","Standplaatstoelage",(IF($N$3="Français","Allocation de résidence","")))))</f>
        <v/>
      </c>
      <c r="H27">
        <v>25</v>
      </c>
    </row>
    <row r="28" spans="1:17" x14ac:dyDescent="0.3">
      <c r="H28">
        <v>26</v>
      </c>
    </row>
    <row r="29" spans="1:17" x14ac:dyDescent="0.3">
      <c r="H29">
        <v>27</v>
      </c>
    </row>
    <row r="30" spans="1:17" x14ac:dyDescent="0.3">
      <c r="H30">
        <v>28</v>
      </c>
    </row>
    <row r="31" spans="1:17" x14ac:dyDescent="0.3">
      <c r="H31">
        <v>29</v>
      </c>
    </row>
    <row r="32" spans="1:17" x14ac:dyDescent="0.3">
      <c r="H32">
        <v>30</v>
      </c>
    </row>
    <row r="35" spans="1:20" x14ac:dyDescent="0.3">
      <c r="A35" t="str">
        <f ca="1">R35</f>
        <v/>
      </c>
      <c r="B35">
        <v>1</v>
      </c>
      <c r="C35">
        <v>2</v>
      </c>
      <c r="D35">
        <v>3</v>
      </c>
      <c r="E35">
        <v>4</v>
      </c>
      <c r="F35">
        <v>5</v>
      </c>
      <c r="G35">
        <v>7</v>
      </c>
      <c r="H35">
        <v>8</v>
      </c>
      <c r="I35">
        <v>9</v>
      </c>
      <c r="J35">
        <v>9.8000000000000007</v>
      </c>
      <c r="K35">
        <v>11</v>
      </c>
      <c r="R35" t="str">
        <f t="shared" ref="R35" ca="1" si="6">IF($N$3="Nederlands",S35,(IF($N$3="Français",T35,"")))</f>
        <v/>
      </c>
      <c r="S35" t="s">
        <v>220</v>
      </c>
      <c r="T35" t="s">
        <v>268</v>
      </c>
    </row>
    <row r="36" spans="1:20" x14ac:dyDescent="0.3">
      <c r="A36">
        <v>1</v>
      </c>
      <c r="F36">
        <v>5354.51</v>
      </c>
    </row>
    <row r="37" spans="1:20" x14ac:dyDescent="0.3">
      <c r="A37">
        <v>2</v>
      </c>
      <c r="F37">
        <v>6693.13</v>
      </c>
    </row>
    <row r="38" spans="1:20" x14ac:dyDescent="0.3">
      <c r="A38">
        <v>3</v>
      </c>
      <c r="F38">
        <v>8031.76</v>
      </c>
    </row>
    <row r="39" spans="1:20" x14ac:dyDescent="0.3">
      <c r="A39">
        <v>4</v>
      </c>
      <c r="F39">
        <v>10709.01</v>
      </c>
    </row>
    <row r="40" spans="1:20" x14ac:dyDescent="0.3">
      <c r="A40">
        <v>5</v>
      </c>
      <c r="F40">
        <v>12047.63</v>
      </c>
    </row>
    <row r="41" spans="1:20" x14ac:dyDescent="0.3">
      <c r="A41">
        <v>6</v>
      </c>
      <c r="F41">
        <v>13386.26</v>
      </c>
    </row>
    <row r="43" spans="1:20" x14ac:dyDescent="0.3">
      <c r="A43" t="str">
        <f ca="1">O43</f>
        <v/>
      </c>
      <c r="O43" t="str">
        <f t="shared" ref="O43:O47" ca="1" si="7">IF($N$3="Nederlands",P43,(IF($N$3="Français",Q43,"")))</f>
        <v/>
      </c>
      <c r="P43" t="s">
        <v>342</v>
      </c>
      <c r="Q43" t="s">
        <v>347</v>
      </c>
    </row>
    <row r="44" spans="1:20" x14ac:dyDescent="0.3">
      <c r="A44" t="str">
        <f t="shared" ref="A44:A47" ca="1" si="8">O44</f>
        <v/>
      </c>
      <c r="B44" s="1">
        <v>0.62</v>
      </c>
      <c r="O44" t="str">
        <f t="shared" ca="1" si="7"/>
        <v/>
      </c>
      <c r="P44" t="s">
        <v>343</v>
      </c>
      <c r="Q44" t="s">
        <v>348</v>
      </c>
    </row>
    <row r="45" spans="1:20" x14ac:dyDescent="0.3">
      <c r="A45" t="str">
        <f t="shared" ca="1" si="8"/>
        <v/>
      </c>
      <c r="B45" s="1">
        <v>0.66</v>
      </c>
      <c r="O45" t="str">
        <f t="shared" ca="1" si="7"/>
        <v/>
      </c>
      <c r="P45" t="s">
        <v>344</v>
      </c>
      <c r="Q45" t="s">
        <v>349</v>
      </c>
    </row>
    <row r="46" spans="1:20" x14ac:dyDescent="0.3">
      <c r="A46" t="str">
        <f t="shared" ca="1" si="8"/>
        <v/>
      </c>
      <c r="B46" s="1">
        <v>0.7</v>
      </c>
      <c r="O46" t="str">
        <f t="shared" ca="1" si="7"/>
        <v/>
      </c>
      <c r="P46" t="s">
        <v>345</v>
      </c>
      <c r="Q46" t="s">
        <v>350</v>
      </c>
    </row>
    <row r="47" spans="1:20" x14ac:dyDescent="0.3">
      <c r="A47" t="str">
        <f t="shared" ca="1" si="8"/>
        <v/>
      </c>
      <c r="B47" s="1">
        <v>0.74</v>
      </c>
      <c r="O47" t="str">
        <f t="shared" ca="1" si="7"/>
        <v/>
      </c>
      <c r="P47" t="s">
        <v>346</v>
      </c>
      <c r="Q47" t="s">
        <v>365</v>
      </c>
    </row>
    <row r="50" spans="1:9" x14ac:dyDescent="0.3">
      <c r="A50" t="str">
        <f ca="1">G50</f>
        <v/>
      </c>
      <c r="G50" t="str">
        <f t="shared" ref="G50:G51" ca="1" si="9">IF($N$3="Nederlands",H50,(IF($N$3="Français",I50,"")))</f>
        <v/>
      </c>
      <c r="H50" t="s">
        <v>353</v>
      </c>
      <c r="I50" t="s">
        <v>354</v>
      </c>
    </row>
    <row r="51" spans="1:9" x14ac:dyDescent="0.3">
      <c r="A51" t="str">
        <f ca="1">G51</f>
        <v/>
      </c>
      <c r="G51" t="str">
        <f t="shared" ca="1" si="9"/>
        <v/>
      </c>
      <c r="H51" t="s">
        <v>355</v>
      </c>
      <c r="I51" t="s">
        <v>356</v>
      </c>
    </row>
  </sheetData>
  <sheetProtection algorithmName="SHA-512" hashValue="4CcHuwARQgwgjezzt6M+CkmRNgzwpCVdwEDEA8Gp6YwBNGa36sXTaUCQM0z9ykJjl0e1ux2cJqNkah7Od1XvRw==" saltValue="wCkopNV3tqNeDo0X49wm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workbookViewId="0">
      <selection activeCell="B19" sqref="B19"/>
    </sheetView>
  </sheetViews>
  <sheetFormatPr defaultRowHeight="14.4" x14ac:dyDescent="0.3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 x14ac:dyDescent="0.3">
      <c r="A1">
        <f ca="1">SIMUL!EZ1</f>
        <v>0</v>
      </c>
      <c r="B1" t="s">
        <v>221</v>
      </c>
      <c r="K1" s="261" t="s">
        <v>129</v>
      </c>
      <c r="L1" s="261"/>
      <c r="M1" s="284">
        <v>138.01</v>
      </c>
      <c r="N1" s="284"/>
      <c r="O1" s="58"/>
      <c r="V1" s="261" t="s">
        <v>357</v>
      </c>
      <c r="W1" s="261"/>
      <c r="X1" s="261"/>
      <c r="Y1" s="261"/>
      <c r="Z1" s="261"/>
      <c r="AA1" s="261"/>
      <c r="AB1" s="261"/>
      <c r="AC1" s="261"/>
    </row>
    <row r="2" spans="1:29" x14ac:dyDescent="0.3">
      <c r="B2" s="4">
        <f>SIMUL!B4</f>
        <v>0</v>
      </c>
      <c r="D2" t="e">
        <f>VLOOKUP(B2,L5:O52,4,TRUE)</f>
        <v>#N/A</v>
      </c>
      <c r="E2">
        <f>YEAR(B2)</f>
        <v>1900</v>
      </c>
      <c r="K2" s="57" t="s">
        <v>130</v>
      </c>
      <c r="L2" s="57" t="s">
        <v>131</v>
      </c>
      <c r="M2" s="284"/>
      <c r="N2" s="284"/>
      <c r="O2" s="58"/>
      <c r="V2" s="268" t="s">
        <v>358</v>
      </c>
      <c r="W2" s="261" t="s">
        <v>359</v>
      </c>
      <c r="X2" s="261"/>
      <c r="Y2" s="261"/>
      <c r="Z2" s="261" t="s">
        <v>360</v>
      </c>
      <c r="AA2" s="261"/>
      <c r="AB2" s="261"/>
    </row>
    <row r="3" spans="1:29" x14ac:dyDescent="0.3">
      <c r="B3" s="4">
        <f>DATE(YEAR(SIMUL!B7),MONTH(SIMUL!B7),1.1)</f>
        <v>1</v>
      </c>
      <c r="C3">
        <f>ROUNDDOWN(YEARFRAC(B3,B2,),0)</f>
        <v>0</v>
      </c>
      <c r="K3" s="285" t="s">
        <v>132</v>
      </c>
      <c r="L3" s="285" t="s">
        <v>222</v>
      </c>
      <c r="M3" s="285" t="s">
        <v>133</v>
      </c>
      <c r="N3" s="285"/>
      <c r="O3" s="58"/>
      <c r="V3" s="268"/>
      <c r="W3" t="s">
        <v>361</v>
      </c>
      <c r="X3" t="s">
        <v>189</v>
      </c>
      <c r="Y3" t="s">
        <v>362</v>
      </c>
      <c r="Z3" t="s">
        <v>361</v>
      </c>
      <c r="AA3" t="s">
        <v>189</v>
      </c>
      <c r="AB3" t="s">
        <v>362</v>
      </c>
      <c r="AC3" t="s">
        <v>363</v>
      </c>
    </row>
    <row r="4" spans="1:29" x14ac:dyDescent="0.3">
      <c r="C4">
        <f>IF(C3&lt;31,C3,31)</f>
        <v>0</v>
      </c>
      <c r="K4" s="285"/>
      <c r="L4" s="285"/>
      <c r="M4" s="286" t="s">
        <v>134</v>
      </c>
      <c r="N4" s="286"/>
      <c r="O4" s="58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22">
        <v>0</v>
      </c>
      <c r="AC4" s="1">
        <v>1.5E-3</v>
      </c>
    </row>
    <row r="5" spans="1:29" x14ac:dyDescent="0.3">
      <c r="K5" s="59">
        <v>32721</v>
      </c>
      <c r="L5" s="59">
        <v>32874</v>
      </c>
      <c r="M5" s="59" t="s">
        <v>135</v>
      </c>
      <c r="N5" s="60">
        <v>1</v>
      </c>
      <c r="O5" s="61">
        <f t="shared" ref="O5:O18" si="0">ROUND(N5,4)</f>
        <v>1</v>
      </c>
      <c r="V5">
        <v>2024</v>
      </c>
      <c r="W5" s="1">
        <f>W4</f>
        <v>0.28860000000000002</v>
      </c>
      <c r="X5" s="1">
        <f>X4</f>
        <v>0.15479999999999999</v>
      </c>
      <c r="Y5" s="1">
        <v>0.375</v>
      </c>
      <c r="Z5" s="1">
        <f t="shared" ref="Z5:AC7" si="1">Z4</f>
        <v>0.23619999999999999</v>
      </c>
      <c r="AA5" s="1">
        <f t="shared" si="1"/>
        <v>5.2600000000000001E-2</v>
      </c>
      <c r="AB5" s="1">
        <f t="shared" si="1"/>
        <v>0</v>
      </c>
      <c r="AC5" s="1">
        <f t="shared" si="1"/>
        <v>1.5E-3</v>
      </c>
    </row>
    <row r="6" spans="1:29" x14ac:dyDescent="0.3">
      <c r="K6" s="59">
        <v>32905</v>
      </c>
      <c r="L6" s="59">
        <v>32905</v>
      </c>
      <c r="M6" s="59" t="s">
        <v>135</v>
      </c>
      <c r="N6" s="60">
        <v>1.02</v>
      </c>
      <c r="O6" s="61">
        <f t="shared" si="0"/>
        <v>1.02</v>
      </c>
      <c r="V6">
        <v>2025</v>
      </c>
      <c r="W6" s="1">
        <f t="shared" ref="W6:Y7" si="2">W5</f>
        <v>0.28860000000000002</v>
      </c>
      <c r="X6" s="1">
        <f t="shared" si="2"/>
        <v>0.15479999999999999</v>
      </c>
      <c r="Y6" s="1">
        <f>Y5</f>
        <v>0.375</v>
      </c>
      <c r="Z6" s="1">
        <f t="shared" si="1"/>
        <v>0.23619999999999999</v>
      </c>
      <c r="AA6" s="1">
        <f t="shared" si="1"/>
        <v>5.2600000000000001E-2</v>
      </c>
      <c r="AB6" s="1">
        <f t="shared" si="1"/>
        <v>0</v>
      </c>
      <c r="AC6" s="1">
        <f t="shared" si="1"/>
        <v>1.5E-3</v>
      </c>
    </row>
    <row r="7" spans="1:29" x14ac:dyDescent="0.3">
      <c r="K7" s="59">
        <v>33178</v>
      </c>
      <c r="L7" s="59">
        <v>33147</v>
      </c>
      <c r="M7" s="59" t="s">
        <v>135</v>
      </c>
      <c r="N7" s="60">
        <f>N6*$N$6</f>
        <v>1.0404</v>
      </c>
      <c r="O7" s="61">
        <f t="shared" si="0"/>
        <v>1.0404</v>
      </c>
      <c r="V7">
        <v>2026</v>
      </c>
      <c r="W7" s="1">
        <f t="shared" si="2"/>
        <v>0.28860000000000002</v>
      </c>
      <c r="X7" s="1">
        <f t="shared" si="2"/>
        <v>0.15479999999999999</v>
      </c>
      <c r="Y7" s="1">
        <f t="shared" si="2"/>
        <v>0.375</v>
      </c>
      <c r="Z7" s="1">
        <f t="shared" si="1"/>
        <v>0.23619999999999999</v>
      </c>
      <c r="AA7" s="1">
        <f t="shared" si="1"/>
        <v>5.2600000000000001E-2</v>
      </c>
      <c r="AB7" s="1">
        <f t="shared" si="1"/>
        <v>0</v>
      </c>
      <c r="AC7" s="1">
        <f t="shared" si="1"/>
        <v>1.5E-3</v>
      </c>
    </row>
    <row r="8" spans="1:29" x14ac:dyDescent="0.3">
      <c r="B8" s="283" t="s">
        <v>50</v>
      </c>
      <c r="C8" s="283"/>
      <c r="D8" s="283"/>
      <c r="E8" t="str">
        <f ca="1">(IF(OR(BV!B1=Gegevenslijsten!O2,BV!B1=Gegevenslijsten!O3),Gegevenslijsten!O2,Gegevenslijsten!O4))</f>
        <v/>
      </c>
      <c r="K8" s="59">
        <v>33298</v>
      </c>
      <c r="L8" s="59">
        <v>33298</v>
      </c>
      <c r="M8" s="59" t="s">
        <v>135</v>
      </c>
      <c r="N8" s="60">
        <f t="shared" ref="N8:N52" si="3">N7*$N$6</f>
        <v>1.0612079999999999</v>
      </c>
      <c r="O8" s="61">
        <f t="shared" si="0"/>
        <v>1.0611999999999999</v>
      </c>
    </row>
    <row r="9" spans="1:29" x14ac:dyDescent="0.3">
      <c r="B9" s="283" t="e">
        <f>'SIMUL SSGPI'!#REF!</f>
        <v>#REF!</v>
      </c>
      <c r="C9" s="283" t="e">
        <f>'SIMUL SSGPI'!#REF!</f>
        <v>#REF!</v>
      </c>
      <c r="D9" s="283"/>
      <c r="K9" s="59">
        <v>33573</v>
      </c>
      <c r="L9" s="59">
        <v>33573</v>
      </c>
      <c r="M9" s="59" t="s">
        <v>135</v>
      </c>
      <c r="N9" s="60">
        <f t="shared" si="3"/>
        <v>1.08243216</v>
      </c>
      <c r="O9" s="61">
        <f t="shared" si="0"/>
        <v>1.0824</v>
      </c>
    </row>
    <row r="10" spans="1:29" x14ac:dyDescent="0.3">
      <c r="B10" s="283"/>
      <c r="C10" s="10" t="str">
        <f ca="1">'SIMUL SSGPI'!F28</f>
        <v/>
      </c>
      <c r="D10" s="10" t="str">
        <f ca="1">'SIMUL SSGPI'!G28</f>
        <v/>
      </c>
      <c r="K10" s="59">
        <v>33909</v>
      </c>
      <c r="L10" s="59">
        <v>33878</v>
      </c>
      <c r="M10" s="59" t="s">
        <v>135</v>
      </c>
      <c r="N10" s="60">
        <f t="shared" si="3"/>
        <v>1.1040808032</v>
      </c>
      <c r="O10" s="61">
        <f t="shared" si="0"/>
        <v>1.1041000000000001</v>
      </c>
    </row>
    <row r="11" spans="1:29" x14ac:dyDescent="0.3">
      <c r="B11" s="11" t="e">
        <f ca="1">ROUND(IF('SIMUL SSGPI'!B28&lt;1945.39,0,(IF('SIMUL SSGPI'!B28&lt;2190.19,('SIMUL SSGPI'!B28-1945.38)*0.0422,(IF('SIMUL SSGPI'!B28&lt;3737.01,10.33+('SIMUL SSGPI'!B28-2190.18)*0.011,(IF('SIMUL SSGPI'!B28&lt;4100.01,27.35+('SIMUL SSGPI'!B28-3737)*0.0338,(IF('SIMUL SSGPI'!B28&lt;6038.83,39.61+('SIMUL SSGPI'!B28-4100)*0.011,60.94))))))))),2)</f>
        <v>#N/A</v>
      </c>
      <c r="C11" s="11" t="e">
        <f ca="1">ROUND(IF('SIMUL SSGPI'!B28&lt;1945.39,0,(IF('SIMUL SSGPI'!B28&lt;2190.19,('SIMUL SSGPI'!B28-1945.38)*0.059,(IF('SIMUL SSGPI'!B28&lt;6038.83,14.44+('SIMUL SSGPI'!B28-2190.18)*0.011,60.94))))),2)</f>
        <v>#N/A</v>
      </c>
      <c r="D11" s="11" t="e">
        <f ca="1">IF(AND('SIMUL SSGPI'!B28&gt;1945.38,E11&lt;5.15),5.15,(IF(E11&gt;51.64,51.64,E11)))</f>
        <v>#N/A</v>
      </c>
      <c r="E11" t="e">
        <f ca="1">ROUND(IF('SIMUL SSGPI'!B28&lt;1095.1,0,(IF('SIMUL SSGPI'!B28&lt;1945.39,5.15,(IF('SIMUL SSGPI'!B28&lt;2190.19,('SIMUL SSGPI'!B28-1945.38)*0.059,(IF('SIMUL SSGPI'!B28&lt;6038.83,14.44+('SIMUL SSGPI'!B28-2190.18)*0.011,60.94))))))),2)</f>
        <v>#N/A</v>
      </c>
      <c r="K11" s="59">
        <v>34151</v>
      </c>
      <c r="L11" s="59">
        <v>34151</v>
      </c>
      <c r="M11" s="59" t="s">
        <v>135</v>
      </c>
      <c r="N11" s="60">
        <f t="shared" si="3"/>
        <v>1.1261624192640001</v>
      </c>
      <c r="O11" s="61">
        <f t="shared" si="0"/>
        <v>1.1262000000000001</v>
      </c>
    </row>
    <row r="12" spans="1:29" x14ac:dyDescent="0.3">
      <c r="K12" s="59">
        <v>34669</v>
      </c>
      <c r="L12" s="59">
        <v>34639</v>
      </c>
      <c r="M12" s="59" t="s">
        <v>135</v>
      </c>
      <c r="N12" s="60">
        <f t="shared" si="3"/>
        <v>1.14868566764928</v>
      </c>
      <c r="O12" s="61">
        <f t="shared" si="0"/>
        <v>1.1487000000000001</v>
      </c>
    </row>
    <row r="13" spans="1:29" x14ac:dyDescent="0.3">
      <c r="K13" s="59">
        <v>35186</v>
      </c>
      <c r="L13" s="59">
        <v>35186</v>
      </c>
      <c r="M13" s="59" t="s">
        <v>135</v>
      </c>
      <c r="N13" s="60">
        <f t="shared" si="3"/>
        <v>1.1716593810022657</v>
      </c>
      <c r="O13" s="61">
        <f t="shared" si="0"/>
        <v>1.1717</v>
      </c>
    </row>
    <row r="14" spans="1:29" x14ac:dyDescent="0.3">
      <c r="B14" s="12" t="str">
        <f ca="1">IF($A$1="","",(IF($A$1="Nederlands","Haardtoelage",(IF($A$1="Français","Allocation de foyer","")))))</f>
        <v/>
      </c>
      <c r="C14" s="12"/>
      <c r="D14" s="13">
        <f>IF(SIMUL!$B$8&lt;16100.01,720,(IF(SIMUL!$B$8&lt;16489.19,((16489.18-SIMUL!$B$8)*0.925)+360,(IF(SIMUL!$B$8&lt;18330.01,360,(IF(SIMUL!$B$8&lt;18719.19,(18719.18-SIMUL!$B$8)*0.925,0)))))))</f>
        <v>720</v>
      </c>
      <c r="E14" s="13">
        <f>IF(SIMUL!$B$8&lt;16100.01,720,(IF(SIMUL!$B$8&lt;16460,(16460-SIMUL!$B$8)+360,(IF(SIMUL!$B$8&lt;18330.01,360,(IF(SIMUL!$B$8&lt;18690,(18690-SIMUL!$B$8),0)))))))</f>
        <v>720</v>
      </c>
      <c r="K14" s="59">
        <v>35704</v>
      </c>
      <c r="L14" s="59">
        <v>35704</v>
      </c>
      <c r="M14" s="59" t="s">
        <v>135</v>
      </c>
      <c r="N14" s="60">
        <f t="shared" si="3"/>
        <v>1.1950925686223111</v>
      </c>
      <c r="O14" s="61">
        <f t="shared" si="0"/>
        <v>1.1951000000000001</v>
      </c>
    </row>
    <row r="15" spans="1:29" x14ac:dyDescent="0.3">
      <c r="B15" s="12" t="str">
        <f ca="1">IF($A$1="","",(IF($A$1="Nederlands","Standplaatstoelage",(IF($A$1="Français","Allocation de résidence","")))))</f>
        <v/>
      </c>
      <c r="C15" s="12"/>
      <c r="D15" s="13">
        <f>IF(SIMUL!$B$8&lt;16100.01,360,(IF(SIMUL!$B$8&lt;16294.6,((16294.59-SIMUL!$B$8)*0.925)+180,(IF(SIMUL!$B$8&lt;18330.01,180,(IF(SIMUL!$B$8&lt;18524.6,(18524.59-SIMUL!$B$8)*0.925,0)))))))</f>
        <v>360</v>
      </c>
      <c r="E15" s="13">
        <f>IF(SIMUL!$B$8&lt;16100.01,360,(IF(SIMUL!$B$8&lt;16280.01,((16280-SIMUL!$B$8))+180,(IF(SIMUL!$B$8&lt;18330.01,180,(IF(SIMUL!$B$8&lt;18510.01,(18510-SIMUL!$B$8),0)))))))</f>
        <v>360</v>
      </c>
      <c r="K15" s="59">
        <v>36312</v>
      </c>
      <c r="L15" s="59">
        <v>36312</v>
      </c>
      <c r="M15" s="59" t="s">
        <v>135</v>
      </c>
      <c r="N15" s="60">
        <f t="shared" si="3"/>
        <v>1.2189944199947573</v>
      </c>
      <c r="O15" s="61">
        <f t="shared" si="0"/>
        <v>1.2190000000000001</v>
      </c>
    </row>
    <row r="16" spans="1:29" x14ac:dyDescent="0.3">
      <c r="K16" s="59">
        <v>36770</v>
      </c>
      <c r="L16" s="59">
        <v>36770</v>
      </c>
      <c r="M16" s="59" t="s">
        <v>135</v>
      </c>
      <c r="N16" s="60">
        <f t="shared" si="3"/>
        <v>1.2433743083946525</v>
      </c>
      <c r="O16" s="61">
        <f t="shared" si="0"/>
        <v>1.2434000000000001</v>
      </c>
    </row>
    <row r="17" spans="2:19" x14ac:dyDescent="0.3">
      <c r="B17" t="e">
        <f>ROUND(IF(SIMUL!B5="statutair",VLOOKUP(SIMUL!#REF!,BBSZ!B14:E15,3),VLOOKUP(SIMUL!#REF!,BBSZ!B14:E15,4)),2)</f>
        <v>#REF!</v>
      </c>
      <c r="K17" s="59">
        <v>37043</v>
      </c>
      <c r="L17" s="59">
        <v>37073</v>
      </c>
      <c r="M17" s="59" t="s">
        <v>135</v>
      </c>
      <c r="N17" s="60">
        <f t="shared" si="3"/>
        <v>1.2682417945625455</v>
      </c>
      <c r="O17" s="61">
        <f t="shared" si="0"/>
        <v>1.2682</v>
      </c>
    </row>
    <row r="18" spans="2:19" x14ac:dyDescent="0.3">
      <c r="K18" s="62">
        <v>37288</v>
      </c>
      <c r="L18" s="62">
        <v>37316</v>
      </c>
      <c r="M18" s="62" t="s">
        <v>135</v>
      </c>
      <c r="N18" s="60">
        <f t="shared" si="3"/>
        <v>1.2936066304537963</v>
      </c>
      <c r="O18" s="61">
        <f t="shared" si="0"/>
        <v>1.2936000000000001</v>
      </c>
      <c r="P18" s="287" t="s">
        <v>223</v>
      </c>
      <c r="Q18" s="287"/>
      <c r="R18" s="287"/>
      <c r="S18" s="287"/>
    </row>
    <row r="19" spans="2:19" x14ac:dyDescent="0.3">
      <c r="K19" s="59">
        <v>37773</v>
      </c>
      <c r="L19" s="59">
        <v>37803</v>
      </c>
      <c r="M19" s="59" t="s">
        <v>135</v>
      </c>
      <c r="N19" s="60">
        <f t="shared" si="3"/>
        <v>1.3194787630628724</v>
      </c>
      <c r="O19" s="61">
        <f>ROUND(N19,4)</f>
        <v>1.3194999999999999</v>
      </c>
      <c r="P19" s="63"/>
      <c r="Q19" s="63"/>
      <c r="R19" s="63"/>
    </row>
    <row r="20" spans="2:19" x14ac:dyDescent="0.3">
      <c r="B20" t="e">
        <f>IF(SIMUL!#REF!="ja",122.71,0)</f>
        <v>#REF!</v>
      </c>
      <c r="K20" s="59">
        <v>38261</v>
      </c>
      <c r="L20" s="59">
        <v>38292</v>
      </c>
      <c r="M20" s="59" t="s">
        <v>135</v>
      </c>
      <c r="N20" s="60">
        <f t="shared" si="3"/>
        <v>1.3458683383241299</v>
      </c>
      <c r="O20" s="61">
        <f t="shared" ref="O20:O52" si="4">ROUND(N20,4)</f>
        <v>1.3459000000000001</v>
      </c>
    </row>
    <row r="21" spans="2:19" x14ac:dyDescent="0.3">
      <c r="K21" s="59">
        <v>38565</v>
      </c>
      <c r="L21" s="59">
        <v>38596</v>
      </c>
      <c r="M21" s="59" t="s">
        <v>135</v>
      </c>
      <c r="N21" s="60">
        <f t="shared" si="3"/>
        <v>1.3727857050906125</v>
      </c>
      <c r="O21" s="61">
        <f t="shared" si="4"/>
        <v>1.3728</v>
      </c>
    </row>
    <row r="22" spans="2:19" x14ac:dyDescent="0.3">
      <c r="K22" s="59">
        <v>38991</v>
      </c>
      <c r="L22" s="59">
        <v>39022</v>
      </c>
      <c r="M22" s="59" t="s">
        <v>135</v>
      </c>
      <c r="N22" s="60">
        <f t="shared" si="3"/>
        <v>1.4002414191924248</v>
      </c>
      <c r="O22" s="61">
        <f t="shared" si="4"/>
        <v>1.4001999999999999</v>
      </c>
    </row>
    <row r="23" spans="2:19" x14ac:dyDescent="0.3">
      <c r="B23" t="s">
        <v>141</v>
      </c>
      <c r="K23" s="59">
        <v>39448</v>
      </c>
      <c r="L23" s="59">
        <v>39479</v>
      </c>
      <c r="M23" s="59" t="s">
        <v>135</v>
      </c>
      <c r="N23" s="60">
        <f t="shared" si="3"/>
        <v>1.4282462475762734</v>
      </c>
      <c r="O23" s="61">
        <f t="shared" si="4"/>
        <v>1.4281999999999999</v>
      </c>
    </row>
    <row r="24" spans="2:19" x14ac:dyDescent="0.3">
      <c r="B24" t="e">
        <f ca="1">ROUND('SIMUL SSGPI'!#REF!*'SIMUL SSGPI'!B9/(breuk*'SIMUL SSGPI'!B8),2)</f>
        <v>#REF!</v>
      </c>
      <c r="C24" t="e">
        <f ca="1">IF(B24&lt;B25,C25,(IF(B24&lt;B26,C26,(IF(B24&lt;B27,C27,C28)))))</f>
        <v>#REF!</v>
      </c>
      <c r="D24" t="e">
        <f ca="1">ROUND(C24*'SIMUL SSGPI'!B8*breuk/'SIMUL SSGPI'!B9,2)</f>
        <v>#REF!</v>
      </c>
      <c r="K24" s="59">
        <v>39569</v>
      </c>
      <c r="L24" s="59">
        <v>39600</v>
      </c>
      <c r="M24" s="59" t="s">
        <v>135</v>
      </c>
      <c r="N24" s="60">
        <f t="shared" si="3"/>
        <v>1.4568111725277988</v>
      </c>
      <c r="O24" s="61">
        <f t="shared" si="4"/>
        <v>1.4568000000000001</v>
      </c>
    </row>
    <row r="25" spans="2:19" x14ac:dyDescent="0.3">
      <c r="B25">
        <v>2054.0100000000002</v>
      </c>
      <c r="C25">
        <v>267.42</v>
      </c>
      <c r="K25" s="59">
        <v>39692</v>
      </c>
      <c r="L25" s="59">
        <v>39722</v>
      </c>
      <c r="M25" s="59" t="s">
        <v>135</v>
      </c>
      <c r="N25" s="60">
        <f t="shared" si="3"/>
        <v>1.4859473959783549</v>
      </c>
      <c r="O25" s="61">
        <f t="shared" si="4"/>
        <v>1.4859</v>
      </c>
    </row>
    <row r="26" spans="2:19" x14ac:dyDescent="0.3">
      <c r="B26">
        <v>2623</v>
      </c>
      <c r="C26" t="e">
        <f ca="1">ROUND(267.42-(0.2579*(B24-2054.01)),2)</f>
        <v>#REF!</v>
      </c>
      <c r="K26" s="59">
        <v>40422</v>
      </c>
      <c r="L26" s="59">
        <v>40452</v>
      </c>
      <c r="M26" s="59" t="s">
        <v>135</v>
      </c>
      <c r="N26" s="60">
        <f t="shared" si="3"/>
        <v>1.5156663438979221</v>
      </c>
      <c r="O26" s="61">
        <f t="shared" si="4"/>
        <v>1.5157</v>
      </c>
    </row>
    <row r="27" spans="2:19" x14ac:dyDescent="0.3">
      <c r="B27">
        <v>3144.45</v>
      </c>
      <c r="C27" t="e">
        <f ca="1">ROUND(252.26-(0.2313*(B24-2054.01)),2)</f>
        <v>#REF!</v>
      </c>
      <c r="K27" s="59">
        <v>40664</v>
      </c>
      <c r="L27" s="59">
        <v>40695</v>
      </c>
      <c r="M27" s="59" t="s">
        <v>135</v>
      </c>
      <c r="N27" s="60">
        <f t="shared" si="3"/>
        <v>1.5459796707758806</v>
      </c>
      <c r="O27" s="61">
        <f t="shared" si="4"/>
        <v>1.546</v>
      </c>
    </row>
    <row r="28" spans="2:19" x14ac:dyDescent="0.3">
      <c r="C28">
        <v>0</v>
      </c>
      <c r="K28" s="59">
        <v>40940</v>
      </c>
      <c r="L28" s="59">
        <v>40969</v>
      </c>
      <c r="M28" s="59" t="s">
        <v>135</v>
      </c>
      <c r="N28" s="60">
        <f t="shared" si="3"/>
        <v>1.5768992641913981</v>
      </c>
      <c r="O28" s="61">
        <f t="shared" si="4"/>
        <v>1.5769</v>
      </c>
    </row>
    <row r="29" spans="2:19" x14ac:dyDescent="0.3">
      <c r="K29" s="59">
        <v>41244</v>
      </c>
      <c r="L29" s="59">
        <v>41275</v>
      </c>
      <c r="M29" s="59" t="s">
        <v>135</v>
      </c>
      <c r="N29" s="60">
        <f t="shared" si="3"/>
        <v>1.6084372494752261</v>
      </c>
      <c r="O29" s="61">
        <f t="shared" si="4"/>
        <v>1.6084000000000001</v>
      </c>
    </row>
    <row r="30" spans="2:19" x14ac:dyDescent="0.3">
      <c r="K30" s="59">
        <v>42522</v>
      </c>
      <c r="L30" s="59">
        <v>42552</v>
      </c>
      <c r="M30" s="59" t="s">
        <v>135</v>
      </c>
      <c r="N30" s="60">
        <f t="shared" si="3"/>
        <v>1.6406059944647307</v>
      </c>
      <c r="O30" s="61">
        <f t="shared" si="4"/>
        <v>1.6406000000000001</v>
      </c>
    </row>
    <row r="31" spans="2:19" x14ac:dyDescent="0.3">
      <c r="K31" s="59">
        <v>42887</v>
      </c>
      <c r="L31" s="59">
        <v>42917</v>
      </c>
      <c r="M31" s="59" t="s">
        <v>135</v>
      </c>
      <c r="N31" s="60">
        <f t="shared" si="3"/>
        <v>1.6734181143540252</v>
      </c>
      <c r="O31" s="61">
        <f t="shared" si="4"/>
        <v>1.6734</v>
      </c>
    </row>
    <row r="32" spans="2:19" x14ac:dyDescent="0.3">
      <c r="K32" s="59">
        <v>43344</v>
      </c>
      <c r="L32" s="59">
        <v>43374</v>
      </c>
      <c r="M32" s="59" t="s">
        <v>135</v>
      </c>
      <c r="N32" s="60">
        <f t="shared" si="3"/>
        <v>1.7068864766411058</v>
      </c>
      <c r="O32" s="61">
        <f t="shared" si="4"/>
        <v>1.7069000000000001</v>
      </c>
    </row>
    <row r="33" spans="1:15" x14ac:dyDescent="0.3">
      <c r="K33" s="59">
        <v>43891</v>
      </c>
      <c r="L33" s="59">
        <v>43922</v>
      </c>
      <c r="M33" s="59" t="s">
        <v>135</v>
      </c>
      <c r="N33" s="60">
        <f t="shared" si="3"/>
        <v>1.7410242061739281</v>
      </c>
      <c r="O33" s="61">
        <f t="shared" si="4"/>
        <v>1.7410000000000001</v>
      </c>
    </row>
    <row r="34" spans="1:15" x14ac:dyDescent="0.3">
      <c r="K34" s="59">
        <v>44440</v>
      </c>
      <c r="L34" s="59">
        <v>44470</v>
      </c>
      <c r="M34" s="59" t="s">
        <v>135</v>
      </c>
      <c r="N34" s="60">
        <f t="shared" si="3"/>
        <v>1.7758446902974065</v>
      </c>
      <c r="O34" s="61">
        <f t="shared" si="4"/>
        <v>1.7758</v>
      </c>
    </row>
    <row r="35" spans="1:15" x14ac:dyDescent="0.3">
      <c r="K35" s="59">
        <v>44562</v>
      </c>
      <c r="L35" s="59">
        <v>44593</v>
      </c>
      <c r="M35" s="59" t="s">
        <v>135</v>
      </c>
      <c r="N35" s="60">
        <f t="shared" si="3"/>
        <v>1.8113615841033548</v>
      </c>
      <c r="O35" s="61">
        <f t="shared" si="4"/>
        <v>1.8113999999999999</v>
      </c>
    </row>
    <row r="36" spans="1:15" x14ac:dyDescent="0.3">
      <c r="K36" s="59">
        <v>44621</v>
      </c>
      <c r="L36" s="59">
        <v>44652</v>
      </c>
      <c r="M36" s="59" t="s">
        <v>135</v>
      </c>
      <c r="N36" s="60">
        <f t="shared" si="3"/>
        <v>1.8475888157854219</v>
      </c>
      <c r="O36" s="61">
        <f t="shared" si="4"/>
        <v>1.8475999999999999</v>
      </c>
    </row>
    <row r="37" spans="1:15" x14ac:dyDescent="0.3">
      <c r="K37" s="59">
        <v>44682</v>
      </c>
      <c r="L37" s="59">
        <v>44713</v>
      </c>
      <c r="M37" s="59" t="s">
        <v>135</v>
      </c>
      <c r="N37" s="60">
        <f t="shared" si="3"/>
        <v>1.8845405921011305</v>
      </c>
      <c r="O37" s="61">
        <f t="shared" si="4"/>
        <v>1.8845000000000001</v>
      </c>
    </row>
    <row r="38" spans="1:15" x14ac:dyDescent="0.3">
      <c r="K38" s="59">
        <v>44774</v>
      </c>
      <c r="L38" s="59">
        <v>44805</v>
      </c>
      <c r="M38" s="59" t="s">
        <v>135</v>
      </c>
      <c r="N38" s="60">
        <f t="shared" si="3"/>
        <v>1.9222314039431532</v>
      </c>
      <c r="O38" s="61">
        <f t="shared" si="4"/>
        <v>1.9221999999999999</v>
      </c>
    </row>
    <row r="39" spans="1:15" x14ac:dyDescent="0.3">
      <c r="A39" t="s">
        <v>254</v>
      </c>
      <c r="K39" s="64">
        <v>44866</v>
      </c>
      <c r="L39" s="64">
        <v>44896</v>
      </c>
      <c r="M39" s="59" t="s">
        <v>135</v>
      </c>
      <c r="N39" s="60">
        <f t="shared" si="3"/>
        <v>1.9606760320220162</v>
      </c>
      <c r="O39" s="61">
        <f t="shared" si="4"/>
        <v>1.9607000000000001</v>
      </c>
    </row>
    <row r="40" spans="1:15" x14ac:dyDescent="0.3">
      <c r="A40" t="s">
        <v>255</v>
      </c>
      <c r="B40">
        <f>20</f>
        <v>20</v>
      </c>
      <c r="K40" s="64">
        <v>44896</v>
      </c>
      <c r="L40" s="64">
        <v>44927</v>
      </c>
      <c r="M40" s="59" t="s">
        <v>135</v>
      </c>
      <c r="N40" s="60">
        <f t="shared" si="3"/>
        <v>1.9998895526624565</v>
      </c>
      <c r="O40" s="61">
        <f t="shared" si="4"/>
        <v>1.9999</v>
      </c>
    </row>
    <row r="41" spans="1:15" x14ac:dyDescent="0.3">
      <c r="A41" t="s">
        <v>256</v>
      </c>
      <c r="B41" t="e">
        <f>16.89*index</f>
        <v>#N/A</v>
      </c>
      <c r="K41" s="64">
        <v>45231</v>
      </c>
      <c r="L41" s="64">
        <v>45261</v>
      </c>
      <c r="M41" s="59" t="s">
        <v>135</v>
      </c>
      <c r="N41" s="60">
        <f t="shared" si="3"/>
        <v>2.0398873437157055</v>
      </c>
      <c r="O41" s="61">
        <f t="shared" si="4"/>
        <v>2.0398999999999998</v>
      </c>
    </row>
    <row r="42" spans="1:15" x14ac:dyDescent="0.3">
      <c r="B42" t="e">
        <f>ROUND(B40+B41,2)</f>
        <v>#N/A</v>
      </c>
      <c r="K42" s="64">
        <v>45413</v>
      </c>
      <c r="L42" s="64">
        <v>45444</v>
      </c>
      <c r="M42" s="59" t="s">
        <v>135</v>
      </c>
      <c r="N42" s="60">
        <f t="shared" si="3"/>
        <v>2.0806850905900198</v>
      </c>
      <c r="O42" s="61">
        <f>ROUND(N42,4)</f>
        <v>2.0807000000000002</v>
      </c>
    </row>
    <row r="43" spans="1:15" x14ac:dyDescent="0.3">
      <c r="K43" s="57"/>
      <c r="L43" s="57"/>
      <c r="M43" s="59" t="s">
        <v>135</v>
      </c>
      <c r="N43" s="60">
        <f t="shared" si="3"/>
        <v>2.1222987924018204</v>
      </c>
      <c r="O43" s="61">
        <f t="shared" si="4"/>
        <v>2.1223000000000001</v>
      </c>
    </row>
    <row r="44" spans="1:15" x14ac:dyDescent="0.3">
      <c r="K44" s="57"/>
      <c r="L44" s="57"/>
      <c r="M44" s="59" t="s">
        <v>135</v>
      </c>
      <c r="N44" s="60">
        <f t="shared" si="3"/>
        <v>2.1647447682498568</v>
      </c>
      <c r="O44" s="61">
        <f t="shared" si="4"/>
        <v>2.1646999999999998</v>
      </c>
    </row>
    <row r="45" spans="1:15" x14ac:dyDescent="0.3">
      <c r="K45" s="57"/>
      <c r="L45" s="57"/>
      <c r="M45" s="59" t="s">
        <v>135</v>
      </c>
      <c r="N45" s="60">
        <f t="shared" si="3"/>
        <v>2.208039663614854</v>
      </c>
      <c r="O45" s="61">
        <f t="shared" si="4"/>
        <v>2.2080000000000002</v>
      </c>
    </row>
    <row r="46" spans="1:15" x14ac:dyDescent="0.3">
      <c r="K46" s="57"/>
      <c r="L46" s="57"/>
      <c r="M46" s="59" t="s">
        <v>135</v>
      </c>
      <c r="N46" s="60">
        <f t="shared" si="3"/>
        <v>2.252200456887151</v>
      </c>
      <c r="O46" s="61">
        <f t="shared" si="4"/>
        <v>2.2522000000000002</v>
      </c>
    </row>
    <row r="47" spans="1:15" x14ac:dyDescent="0.3">
      <c r="K47" s="57"/>
      <c r="L47" s="57"/>
      <c r="M47" s="59" t="s">
        <v>135</v>
      </c>
      <c r="N47" s="60">
        <f t="shared" si="3"/>
        <v>2.2972444660248938</v>
      </c>
      <c r="O47" s="61">
        <f t="shared" si="4"/>
        <v>2.2972000000000001</v>
      </c>
    </row>
    <row r="48" spans="1:15" x14ac:dyDescent="0.3">
      <c r="K48" s="57"/>
      <c r="L48" s="57"/>
      <c r="M48" s="59" t="s">
        <v>135</v>
      </c>
      <c r="N48" s="60">
        <f t="shared" si="3"/>
        <v>2.343189355345392</v>
      </c>
      <c r="O48" s="61">
        <f t="shared" si="4"/>
        <v>2.3431999999999999</v>
      </c>
    </row>
    <row r="49" spans="1:15" x14ac:dyDescent="0.3">
      <c r="K49" s="57"/>
      <c r="L49" s="57"/>
      <c r="M49" s="59" t="s">
        <v>135</v>
      </c>
      <c r="N49" s="60">
        <f t="shared" si="3"/>
        <v>2.3900531424522997</v>
      </c>
      <c r="O49" s="61">
        <f t="shared" si="4"/>
        <v>2.3900999999999999</v>
      </c>
    </row>
    <row r="50" spans="1:15" x14ac:dyDescent="0.3">
      <c r="K50" s="57"/>
      <c r="L50" s="57"/>
      <c r="M50" s="59" t="s">
        <v>135</v>
      </c>
      <c r="N50" s="60">
        <f t="shared" si="3"/>
        <v>2.4378542053013459</v>
      </c>
      <c r="O50" s="61">
        <f t="shared" si="4"/>
        <v>2.4379</v>
      </c>
    </row>
    <row r="51" spans="1:15" x14ac:dyDescent="0.3">
      <c r="K51" s="57"/>
      <c r="L51" s="57"/>
      <c r="M51" s="59" t="s">
        <v>135</v>
      </c>
      <c r="N51" s="60">
        <f t="shared" si="3"/>
        <v>2.4866112894073726</v>
      </c>
      <c r="O51" s="61">
        <f t="shared" si="4"/>
        <v>2.4866000000000001</v>
      </c>
    </row>
    <row r="52" spans="1:15" x14ac:dyDescent="0.3">
      <c r="K52" s="57"/>
      <c r="L52" s="57"/>
      <c r="M52" s="59" t="s">
        <v>135</v>
      </c>
      <c r="N52" s="60">
        <f t="shared" si="3"/>
        <v>2.53634351519552</v>
      </c>
      <c r="O52" s="61">
        <f t="shared" si="4"/>
        <v>2.5363000000000002</v>
      </c>
    </row>
    <row r="60" spans="1:15" x14ac:dyDescent="0.3">
      <c r="A60" t="s">
        <v>225</v>
      </c>
    </row>
    <row r="61" spans="1:15" x14ac:dyDescent="0.3">
      <c r="A61" s="144"/>
      <c r="B61" s="236" t="s">
        <v>226</v>
      </c>
      <c r="C61" s="238"/>
      <c r="D61" s="236" t="s">
        <v>227</v>
      </c>
      <c r="E61" s="238"/>
      <c r="G61" s="145"/>
    </row>
    <row r="62" spans="1:15" x14ac:dyDescent="0.3">
      <c r="A62" s="144" t="s">
        <v>228</v>
      </c>
      <c r="B62" s="279"/>
      <c r="C62" s="279"/>
      <c r="D62" s="279"/>
      <c r="E62" s="279"/>
      <c r="F62" t="e">
        <f>Gegevenslijsten!#REF!</f>
        <v>#REF!</v>
      </c>
      <c r="G62" s="281" t="s">
        <v>229</v>
      </c>
      <c r="H62" s="282"/>
    </row>
    <row r="63" spans="1:15" x14ac:dyDescent="0.3">
      <c r="A63" s="271" t="s">
        <v>230</v>
      </c>
      <c r="B63" s="272"/>
      <c r="C63" s="278" t="e">
        <f>SIMUL!#REF!</f>
        <v>#REF!</v>
      </c>
      <c r="D63" s="279"/>
      <c r="E63" s="279"/>
      <c r="F63" t="e">
        <f>Gegevenslijsten!#REF!</f>
        <v>#REF!</v>
      </c>
      <c r="G63" s="276">
        <v>1540</v>
      </c>
      <c r="H63" s="277"/>
    </row>
    <row r="64" spans="1:15" x14ac:dyDescent="0.3">
      <c r="A64" s="271" t="s">
        <v>231</v>
      </c>
      <c r="B64" s="272"/>
      <c r="C64" s="278" t="e">
        <f>SIMUL!#REF!</f>
        <v>#REF!</v>
      </c>
      <c r="D64" s="279"/>
      <c r="E64" s="144" t="s">
        <v>232</v>
      </c>
      <c r="F64" t="e">
        <f>ROUND(IF((AND(F62=1,C64&gt;50)),C64*2.5,C64),0)</f>
        <v>#REF!</v>
      </c>
      <c r="G64" s="280" t="e">
        <f>5.5+((F64-C65)*0.1)</f>
        <v>#REF!</v>
      </c>
      <c r="H64" s="280"/>
    </row>
    <row r="65" spans="1:8" x14ac:dyDescent="0.3">
      <c r="A65" s="271" t="s">
        <v>233</v>
      </c>
      <c r="B65" s="272"/>
      <c r="C65" s="273" t="e">
        <f>IF(F63=1,67,82)</f>
        <v>#REF!</v>
      </c>
      <c r="D65" s="273"/>
      <c r="E65" s="144" t="s">
        <v>232</v>
      </c>
      <c r="G65" s="274" t="s">
        <v>234</v>
      </c>
      <c r="H65" s="275"/>
    </row>
    <row r="66" spans="1:8" x14ac:dyDescent="0.3">
      <c r="A66" s="271" t="s">
        <v>235</v>
      </c>
      <c r="B66" s="272"/>
      <c r="C66" s="273" t="e">
        <f>IF(G64&lt;4,4,IF(G64&gt;18,18,G64))</f>
        <v>#REF!</v>
      </c>
      <c r="D66" s="273"/>
      <c r="E66" s="144" t="s">
        <v>236</v>
      </c>
      <c r="G66" s="276">
        <f>470</f>
        <v>470</v>
      </c>
      <c r="H66" s="277"/>
    </row>
    <row r="67" spans="1:8" x14ac:dyDescent="0.3">
      <c r="G67" s="148" t="s">
        <v>237</v>
      </c>
      <c r="H67" s="149">
        <v>44927</v>
      </c>
    </row>
    <row r="68" spans="1:8" x14ac:dyDescent="0.3">
      <c r="A68" s="270"/>
      <c r="B68" s="270"/>
      <c r="C68" s="270"/>
      <c r="D68" s="270"/>
      <c r="E68" s="270"/>
      <c r="G68" s="148" t="s">
        <v>238</v>
      </c>
      <c r="H68" s="146" t="s">
        <v>224</v>
      </c>
    </row>
    <row r="69" spans="1:8" x14ac:dyDescent="0.3">
      <c r="A69" s="270" t="s">
        <v>239</v>
      </c>
      <c r="B69" s="270"/>
      <c r="C69" s="270"/>
      <c r="D69" s="270"/>
      <c r="E69" s="150" t="e">
        <f>SIMUL!#REF!</f>
        <v>#REF!</v>
      </c>
      <c r="G69" s="145"/>
      <c r="H69" s="145"/>
    </row>
    <row r="70" spans="1:8" x14ac:dyDescent="0.3">
      <c r="G70" s="145"/>
    </row>
    <row r="71" spans="1:8" x14ac:dyDescent="0.3">
      <c r="A71" s="270" t="s">
        <v>240</v>
      </c>
      <c r="B71" s="270"/>
      <c r="C71" s="270"/>
      <c r="D71" s="270"/>
      <c r="E71" s="151" t="e">
        <f>SIMUL!#REF!</f>
        <v>#REF!</v>
      </c>
      <c r="F71" s="4" t="e">
        <f>DATE(YEAR(E71),MONTH(E71),1)</f>
        <v>#REF!</v>
      </c>
      <c r="G71" s="4">
        <f>SIMUL!B4</f>
        <v>0</v>
      </c>
      <c r="H71" t="e">
        <f>ROUNDDOWN(YEARFRAC(E71,G71,),0)</f>
        <v>#REF!</v>
      </c>
    </row>
    <row r="72" spans="1:8" x14ac:dyDescent="0.3">
      <c r="G72" s="145"/>
    </row>
    <row r="73" spans="1:8" ht="20.399999999999999" x14ac:dyDescent="0.35">
      <c r="A73" s="269" t="s">
        <v>241</v>
      </c>
      <c r="B73" s="269"/>
      <c r="C73" s="269"/>
      <c r="D73" s="269"/>
      <c r="E73" s="269"/>
      <c r="F73" s="269"/>
      <c r="G73" s="269"/>
      <c r="H73" s="269"/>
    </row>
    <row r="74" spans="1:8" x14ac:dyDescent="0.3">
      <c r="A74" s="152"/>
      <c r="B74" s="153">
        <f>H67</f>
        <v>44927</v>
      </c>
      <c r="C74" s="154"/>
      <c r="D74" s="153"/>
      <c r="E74" s="154"/>
      <c r="F74" s="153"/>
      <c r="G74" s="154"/>
      <c r="H74" s="153"/>
    </row>
    <row r="75" spans="1:8" x14ac:dyDescent="0.3">
      <c r="A75" s="144" t="s">
        <v>242</v>
      </c>
      <c r="B75" s="26" t="e">
        <f>E69</f>
        <v>#REF!</v>
      </c>
      <c r="C75" s="144"/>
      <c r="D75" s="26"/>
      <c r="E75" s="144"/>
      <c r="F75" s="26"/>
      <c r="G75" s="144"/>
      <c r="H75" s="26"/>
    </row>
    <row r="76" spans="1:8" x14ac:dyDescent="0.3">
      <c r="A76" s="148" t="s">
        <v>243</v>
      </c>
      <c r="B76" s="26" t="e">
        <f>C66</f>
        <v>#REF!</v>
      </c>
      <c r="C76" s="148"/>
      <c r="D76" s="26"/>
      <c r="E76" s="148"/>
      <c r="F76" s="26"/>
      <c r="G76" s="148"/>
      <c r="H76" s="26"/>
    </row>
    <row r="77" spans="1:8" x14ac:dyDescent="0.3">
      <c r="A77" s="148" t="s">
        <v>244</v>
      </c>
      <c r="B77" s="147">
        <v>1</v>
      </c>
      <c r="C77" s="148"/>
      <c r="D77" s="147"/>
      <c r="E77" s="148"/>
      <c r="F77" s="147"/>
      <c r="G77" s="148"/>
      <c r="H77" s="147"/>
    </row>
    <row r="78" spans="1:8" x14ac:dyDescent="0.3">
      <c r="A78" s="148" t="s">
        <v>245</v>
      </c>
      <c r="B78" s="147">
        <v>12</v>
      </c>
      <c r="C78" s="148"/>
      <c r="D78" s="147"/>
      <c r="E78" s="148"/>
      <c r="F78" s="147"/>
      <c r="G78" s="148"/>
      <c r="H78" s="147"/>
    </row>
    <row r="79" spans="1:8" x14ac:dyDescent="0.3">
      <c r="A79" s="148" t="s">
        <v>246</v>
      </c>
      <c r="B79" s="155" t="e">
        <f>H71</f>
        <v>#REF!</v>
      </c>
      <c r="C79" s="148"/>
      <c r="D79" s="155"/>
      <c r="E79" s="148"/>
      <c r="F79" s="155"/>
      <c r="G79" s="148"/>
      <c r="H79" s="156"/>
    </row>
    <row r="80" spans="1:8" x14ac:dyDescent="0.3">
      <c r="A80" s="148" t="s">
        <v>247</v>
      </c>
      <c r="B80" s="26" t="e">
        <f>IF(B79=0,100,IF(B79=1,94,IF(B79=2,88,IF(B79=3,82,IF(B79=4,76,70)))))</f>
        <v>#REF!</v>
      </c>
      <c r="C80" s="148"/>
      <c r="D80" s="26"/>
      <c r="E80" s="148"/>
      <c r="F80" s="26"/>
      <c r="G80" s="148"/>
      <c r="H80" s="26"/>
    </row>
    <row r="81" spans="1:8" x14ac:dyDescent="0.3">
      <c r="A81" s="157" t="s">
        <v>248</v>
      </c>
      <c r="B81" s="158" t="e">
        <f>(IF(((B75*B76/100)*(B80/100)*(6/7))&lt;G63,G63,((B75*B76/100)*(B80/100)*(6/7))))</f>
        <v>#REF!</v>
      </c>
      <c r="C81" s="157"/>
      <c r="D81" s="158"/>
      <c r="E81" s="157"/>
      <c r="F81" s="158"/>
      <c r="G81" s="157"/>
      <c r="H81" s="158"/>
    </row>
    <row r="82" spans="1:8" x14ac:dyDescent="0.3">
      <c r="A82" s="159" t="s">
        <v>249</v>
      </c>
      <c r="B82" s="158" t="e">
        <f>B81*(B77/B78)</f>
        <v>#REF!</v>
      </c>
      <c r="C82" s="159"/>
      <c r="D82" s="158"/>
      <c r="E82" s="159"/>
      <c r="F82" s="158"/>
      <c r="G82" s="159"/>
      <c r="H82" s="158"/>
    </row>
    <row r="83" spans="1:8" x14ac:dyDescent="0.3">
      <c r="A83" s="148" t="s">
        <v>250</v>
      </c>
      <c r="B83" s="160"/>
      <c r="C83" s="148"/>
      <c r="D83" s="161"/>
      <c r="E83" s="148"/>
      <c r="F83" s="161"/>
      <c r="G83" s="148"/>
      <c r="H83" s="161"/>
    </row>
    <row r="84" spans="1:8" x14ac:dyDescent="0.3">
      <c r="A84" s="159" t="s">
        <v>251</v>
      </c>
      <c r="B84" s="158">
        <f>B83*12*B77/B78</f>
        <v>0</v>
      </c>
      <c r="C84" s="159"/>
      <c r="D84" s="158"/>
      <c r="E84" s="159"/>
      <c r="F84" s="158"/>
      <c r="G84" s="159"/>
      <c r="H84" s="158"/>
    </row>
    <row r="85" spans="1:8" x14ac:dyDescent="0.3">
      <c r="A85" s="148" t="s">
        <v>252</v>
      </c>
      <c r="B85" s="158" t="e">
        <f>ROUND(IF(B82-B84-B86&lt;0,0,B82-B84-B86),2)</f>
        <v>#REF!</v>
      </c>
      <c r="C85" s="148"/>
      <c r="D85" s="158"/>
      <c r="E85" s="148"/>
      <c r="F85" s="158"/>
      <c r="G85" s="148"/>
      <c r="H85" s="158"/>
    </row>
    <row r="86" spans="1:8" x14ac:dyDescent="0.3">
      <c r="A86" s="148" t="s">
        <v>253</v>
      </c>
      <c r="B86" s="158">
        <f>G66/12</f>
        <v>39.166666666666664</v>
      </c>
      <c r="C86" s="148"/>
      <c r="D86" s="158"/>
      <c r="E86" s="148"/>
      <c r="F86" s="158"/>
      <c r="G86" s="148"/>
      <c r="H86" s="158"/>
    </row>
  </sheetData>
  <sheetProtection algorithmName="SHA-512" hashValue="p0o9sEqKpQW1Sigq8e+irIGYR96utvLv2UjTQ9HuZq/MXuqwlCy+foKQq+g93VHV3M9yPqWJfXS4CmgCsshlBg==" saltValue="hEtiAuHhqyQYhTZNGc4/2A==" spinCount="100000" sheet="1" objects="1" scenarios="1"/>
  <mergeCells count="35">
    <mergeCell ref="V1:AC1"/>
    <mergeCell ref="V2:V3"/>
    <mergeCell ref="W2:Y2"/>
    <mergeCell ref="Z2:AB2"/>
    <mergeCell ref="P18:S18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B61:C61"/>
    <mergeCell ref="D61:E61"/>
    <mergeCell ref="B62:C62"/>
    <mergeCell ref="D62:E62"/>
    <mergeCell ref="G62:H62"/>
    <mergeCell ref="A63:B63"/>
    <mergeCell ref="C63:E63"/>
    <mergeCell ref="G63:H63"/>
    <mergeCell ref="A64:B64"/>
    <mergeCell ref="C64:D64"/>
    <mergeCell ref="G64:H64"/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BK49"/>
  <sheetViews>
    <sheetView workbookViewId="0">
      <selection activeCell="B19" sqref="B19"/>
    </sheetView>
  </sheetViews>
  <sheetFormatPr defaultRowHeight="14.4" x14ac:dyDescent="0.3"/>
  <cols>
    <col min="1" max="1" width="11" customWidth="1"/>
    <col min="39" max="49" width="8.88671875" style="5"/>
    <col min="57" max="58" width="10.6640625" bestFit="1" customWidth="1"/>
  </cols>
  <sheetData>
    <row r="1" spans="1:63" s="46" customFormat="1" ht="15" thickBot="1" x14ac:dyDescent="0.35">
      <c r="B1" s="46">
        <f>ROUND(B36,0)</f>
        <v>1</v>
      </c>
      <c r="C1" s="46">
        <f t="shared" ref="C1:BD1" si="0">ROUND(C36,0)</f>
        <v>1</v>
      </c>
      <c r="D1" s="46">
        <f t="shared" si="0"/>
        <v>1</v>
      </c>
      <c r="E1" s="46">
        <f t="shared" si="0"/>
        <v>1</v>
      </c>
      <c r="F1" s="46">
        <f t="shared" si="0"/>
        <v>1</v>
      </c>
      <c r="G1" s="46">
        <f t="shared" si="0"/>
        <v>1</v>
      </c>
      <c r="H1" s="46">
        <f t="shared" si="0"/>
        <v>1</v>
      </c>
      <c r="I1" s="46">
        <f t="shared" si="0"/>
        <v>1</v>
      </c>
      <c r="J1" s="46">
        <f t="shared" si="0"/>
        <v>2</v>
      </c>
      <c r="K1" s="46">
        <f t="shared" si="0"/>
        <v>2</v>
      </c>
      <c r="L1" s="46">
        <f t="shared" si="0"/>
        <v>2</v>
      </c>
      <c r="M1" s="46">
        <f t="shared" si="0"/>
        <v>2</v>
      </c>
      <c r="N1" s="46">
        <f t="shared" si="0"/>
        <v>2</v>
      </c>
      <c r="O1" s="46">
        <f t="shared" si="0"/>
        <v>2</v>
      </c>
      <c r="P1" s="46">
        <v>3</v>
      </c>
      <c r="Q1" s="46">
        <v>3</v>
      </c>
      <c r="R1" s="46">
        <v>3</v>
      </c>
      <c r="S1" s="46">
        <v>3</v>
      </c>
      <c r="T1" s="46">
        <v>3</v>
      </c>
      <c r="U1" s="46">
        <v>3</v>
      </c>
      <c r="V1" s="46">
        <v>3</v>
      </c>
      <c r="W1" s="46">
        <v>3</v>
      </c>
      <c r="X1" s="46">
        <f t="shared" si="0"/>
        <v>2</v>
      </c>
      <c r="Y1" s="46">
        <f t="shared" si="0"/>
        <v>2</v>
      </c>
      <c r="Z1" s="46">
        <f t="shared" si="0"/>
        <v>2</v>
      </c>
      <c r="AA1" s="46">
        <f t="shared" si="0"/>
        <v>2</v>
      </c>
      <c r="AB1" s="46">
        <f t="shared" si="0"/>
        <v>2</v>
      </c>
      <c r="AC1" s="46">
        <f t="shared" si="0"/>
        <v>3</v>
      </c>
      <c r="AD1" s="46">
        <f t="shared" si="0"/>
        <v>3</v>
      </c>
      <c r="AE1" s="46">
        <f t="shared" si="0"/>
        <v>3</v>
      </c>
      <c r="AF1" s="46">
        <f t="shared" si="0"/>
        <v>3</v>
      </c>
      <c r="AG1" s="46">
        <f t="shared" si="0"/>
        <v>3</v>
      </c>
      <c r="AH1" s="46">
        <f t="shared" si="0"/>
        <v>3</v>
      </c>
      <c r="AI1" s="46">
        <f t="shared" si="0"/>
        <v>3</v>
      </c>
      <c r="AJ1" s="46">
        <f t="shared" si="0"/>
        <v>3</v>
      </c>
      <c r="AK1" s="46">
        <f t="shared" si="0"/>
        <v>3</v>
      </c>
      <c r="AL1" s="46">
        <f t="shared" si="0"/>
        <v>3</v>
      </c>
      <c r="AM1" s="46">
        <f t="shared" si="0"/>
        <v>3</v>
      </c>
      <c r="AN1" s="46">
        <f t="shared" si="0"/>
        <v>3</v>
      </c>
      <c r="AO1" s="46">
        <f t="shared" si="0"/>
        <v>3</v>
      </c>
      <c r="AP1" s="46">
        <f t="shared" si="0"/>
        <v>4</v>
      </c>
      <c r="AQ1" s="46">
        <f t="shared" si="0"/>
        <v>4</v>
      </c>
      <c r="AR1" s="46">
        <f t="shared" si="0"/>
        <v>4</v>
      </c>
      <c r="AS1" s="46">
        <f t="shared" si="0"/>
        <v>4</v>
      </c>
      <c r="AT1" s="46">
        <f t="shared" si="0"/>
        <v>4</v>
      </c>
      <c r="AU1" s="46">
        <f t="shared" si="0"/>
        <v>4</v>
      </c>
      <c r="AV1" s="46">
        <f t="shared" si="0"/>
        <v>4</v>
      </c>
      <c r="AW1" s="46">
        <f t="shared" si="0"/>
        <v>5</v>
      </c>
      <c r="AX1" s="46">
        <f t="shared" si="0"/>
        <v>5</v>
      </c>
      <c r="AY1" s="46">
        <f t="shared" si="0"/>
        <v>4</v>
      </c>
      <c r="AZ1" s="46">
        <f t="shared" si="0"/>
        <v>4</v>
      </c>
      <c r="BA1" s="46">
        <f t="shared" si="0"/>
        <v>4</v>
      </c>
      <c r="BB1" s="46">
        <f t="shared" si="0"/>
        <v>4</v>
      </c>
      <c r="BC1" s="46">
        <f t="shared" si="0"/>
        <v>4</v>
      </c>
      <c r="BD1" s="46">
        <f t="shared" si="0"/>
        <v>4</v>
      </c>
      <c r="BE1" s="46">
        <v>4</v>
      </c>
      <c r="BF1" s="46">
        <v>4</v>
      </c>
    </row>
    <row r="2" spans="1:63" x14ac:dyDescent="0.3">
      <c r="A2" s="15" t="s">
        <v>64</v>
      </c>
      <c r="B2" s="16" t="s">
        <v>63</v>
      </c>
      <c r="C2" s="17" t="s">
        <v>104</v>
      </c>
      <c r="D2" s="17" t="s">
        <v>105</v>
      </c>
      <c r="E2" s="18" t="s">
        <v>106</v>
      </c>
      <c r="F2" s="16" t="s">
        <v>107</v>
      </c>
      <c r="G2" s="17" t="s">
        <v>108</v>
      </c>
      <c r="H2" s="17" t="s">
        <v>109</v>
      </c>
      <c r="I2" s="18" t="s">
        <v>110</v>
      </c>
      <c r="J2" s="42" t="s">
        <v>93</v>
      </c>
      <c r="K2" s="43" t="s">
        <v>94</v>
      </c>
      <c r="L2" s="43" t="s">
        <v>95</v>
      </c>
      <c r="M2" s="43" t="s">
        <v>96</v>
      </c>
      <c r="N2" s="43" t="s">
        <v>97</v>
      </c>
      <c r="O2" s="44" t="s">
        <v>98</v>
      </c>
      <c r="P2" s="52" t="s">
        <v>118</v>
      </c>
      <c r="Q2" s="52" t="s">
        <v>119</v>
      </c>
      <c r="R2" s="52" t="s">
        <v>120</v>
      </c>
      <c r="S2" s="52" t="s">
        <v>121</v>
      </c>
      <c r="T2" s="52" t="s">
        <v>122</v>
      </c>
      <c r="U2" s="52" t="s">
        <v>123</v>
      </c>
      <c r="V2" s="52" t="s">
        <v>124</v>
      </c>
      <c r="W2" s="52" t="s">
        <v>125</v>
      </c>
      <c r="X2" s="16" t="s">
        <v>99</v>
      </c>
      <c r="Y2" s="17" t="s">
        <v>100</v>
      </c>
      <c r="Z2" s="17" t="s">
        <v>101</v>
      </c>
      <c r="AA2" s="17" t="s">
        <v>102</v>
      </c>
      <c r="AB2" s="18" t="s">
        <v>103</v>
      </c>
      <c r="AC2" s="226" t="s">
        <v>366</v>
      </c>
      <c r="AD2" s="227" t="s">
        <v>367</v>
      </c>
      <c r="AE2" s="227" t="s">
        <v>368</v>
      </c>
      <c r="AF2" s="227" t="s">
        <v>369</v>
      </c>
      <c r="AG2" s="228" t="s">
        <v>370</v>
      </c>
      <c r="AH2" s="16" t="s">
        <v>65</v>
      </c>
      <c r="AI2" s="17" t="s">
        <v>66</v>
      </c>
      <c r="AJ2" s="17" t="s">
        <v>67</v>
      </c>
      <c r="AK2" s="17" t="s">
        <v>68</v>
      </c>
      <c r="AL2" s="17" t="s">
        <v>69</v>
      </c>
      <c r="AM2" s="17" t="s">
        <v>90</v>
      </c>
      <c r="AN2" s="18" t="s">
        <v>91</v>
      </c>
      <c r="AO2" s="16" t="s">
        <v>70</v>
      </c>
      <c r="AP2" s="17" t="s">
        <v>71</v>
      </c>
      <c r="AQ2" s="17" t="s">
        <v>72</v>
      </c>
      <c r="AR2" s="17" t="s">
        <v>73</v>
      </c>
      <c r="AS2" s="17" t="s">
        <v>74</v>
      </c>
      <c r="AT2" s="18" t="s">
        <v>92</v>
      </c>
      <c r="AU2" s="16" t="s">
        <v>80</v>
      </c>
      <c r="AV2" s="17" t="s">
        <v>81</v>
      </c>
      <c r="AW2" s="17" t="s">
        <v>82</v>
      </c>
      <c r="AX2" s="17" t="s">
        <v>83</v>
      </c>
      <c r="AY2" s="17" t="s">
        <v>88</v>
      </c>
      <c r="AZ2" s="17" t="s">
        <v>84</v>
      </c>
      <c r="BA2" s="17" t="s">
        <v>85</v>
      </c>
      <c r="BB2" s="17" t="s">
        <v>86</v>
      </c>
      <c r="BC2" s="18" t="s">
        <v>87</v>
      </c>
      <c r="BD2" s="16" t="s">
        <v>76</v>
      </c>
      <c r="BE2" s="17" t="s">
        <v>77</v>
      </c>
      <c r="BF2" s="17" t="s">
        <v>78</v>
      </c>
      <c r="BG2" s="17" t="s">
        <v>89</v>
      </c>
      <c r="BH2" s="17" t="s">
        <v>79</v>
      </c>
      <c r="BI2" s="18" t="s">
        <v>75</v>
      </c>
      <c r="BJ2" s="49" t="s">
        <v>116</v>
      </c>
      <c r="BK2" s="18" t="s">
        <v>117</v>
      </c>
    </row>
    <row r="3" spans="1:63" x14ac:dyDescent="0.3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38">
        <v>15743.21</v>
      </c>
      <c r="K3" s="32">
        <v>16473.7</v>
      </c>
      <c r="L3" s="32">
        <v>18105</v>
      </c>
      <c r="M3" s="32">
        <v>19335.080000000002</v>
      </c>
      <c r="N3" s="32">
        <v>20190.45</v>
      </c>
      <c r="O3" s="39">
        <v>21068.11</v>
      </c>
      <c r="P3" s="53">
        <v>17725.05</v>
      </c>
      <c r="Q3" s="53">
        <v>23740.23</v>
      </c>
      <c r="R3" s="53">
        <v>24079.23</v>
      </c>
      <c r="S3" s="53">
        <v>24565.8</v>
      </c>
      <c r="T3" s="53">
        <v>17730.740000000002</v>
      </c>
      <c r="U3" s="53">
        <v>24045.7</v>
      </c>
      <c r="V3" s="53">
        <v>19448.82</v>
      </c>
      <c r="W3" s="53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29">
        <v>19004</v>
      </c>
      <c r="AD3" s="230">
        <v>21504</v>
      </c>
      <c r="AE3" s="230">
        <v>23504</v>
      </c>
      <c r="AF3" s="230">
        <v>25504</v>
      </c>
      <c r="AG3" s="231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50">
        <v>73185.81</v>
      </c>
      <c r="BK3" s="22">
        <v>65508.800000000003</v>
      </c>
    </row>
    <row r="4" spans="1:63" x14ac:dyDescent="0.3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38">
        <v>16010.52</v>
      </c>
      <c r="K4" s="32">
        <v>16741.009999999998</v>
      </c>
      <c r="L4" s="32">
        <v>18372.310000000001</v>
      </c>
      <c r="M4" s="32">
        <v>19602.39</v>
      </c>
      <c r="N4" s="32">
        <v>20457.759999999998</v>
      </c>
      <c r="O4" s="39">
        <v>21335.42</v>
      </c>
      <c r="P4" s="53">
        <v>17725.05</v>
      </c>
      <c r="Q4" s="53">
        <v>23740.23</v>
      </c>
      <c r="R4" s="53">
        <v>24079.23</v>
      </c>
      <c r="S4" s="53">
        <v>24565.8</v>
      </c>
      <c r="T4" s="53">
        <v>17730.740000000002</v>
      </c>
      <c r="U4" s="53">
        <v>24045.7</v>
      </c>
      <c r="V4" s="53">
        <v>19448.82</v>
      </c>
      <c r="W4" s="53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29">
        <v>19274</v>
      </c>
      <c r="AD4" s="230">
        <v>21774</v>
      </c>
      <c r="AE4" s="230">
        <v>23774</v>
      </c>
      <c r="AF4" s="230">
        <v>25774</v>
      </c>
      <c r="AG4" s="231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50">
        <v>73185.81</v>
      </c>
      <c r="BK4" s="22">
        <v>65508.800000000003</v>
      </c>
    </row>
    <row r="5" spans="1:63" x14ac:dyDescent="0.3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38">
        <v>16277.83</v>
      </c>
      <c r="K5" s="32">
        <v>17008.32</v>
      </c>
      <c r="L5" s="32">
        <v>18639.62</v>
      </c>
      <c r="M5" s="32">
        <v>19869.7</v>
      </c>
      <c r="N5" s="32">
        <v>20725.07</v>
      </c>
      <c r="O5" s="39">
        <v>21602.73</v>
      </c>
      <c r="P5" s="53">
        <v>17725.05</v>
      </c>
      <c r="Q5" s="53">
        <v>23740.23</v>
      </c>
      <c r="R5" s="53">
        <v>24079.23</v>
      </c>
      <c r="S5" s="53">
        <v>24565.8</v>
      </c>
      <c r="T5" s="53">
        <v>17730.740000000002</v>
      </c>
      <c r="U5" s="53">
        <v>24045.7</v>
      </c>
      <c r="V5" s="53">
        <v>19448.82</v>
      </c>
      <c r="W5" s="53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29">
        <v>19543</v>
      </c>
      <c r="AD5" s="230">
        <v>22043</v>
      </c>
      <c r="AE5" s="230">
        <v>24043</v>
      </c>
      <c r="AF5" s="230">
        <v>26043</v>
      </c>
      <c r="AG5" s="231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50">
        <v>73185.81</v>
      </c>
      <c r="BK5" s="22">
        <v>65508.800000000003</v>
      </c>
    </row>
    <row r="6" spans="1:63" x14ac:dyDescent="0.3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38">
        <v>16545.14</v>
      </c>
      <c r="K6" s="32">
        <v>17275.63</v>
      </c>
      <c r="L6" s="32">
        <v>18906.93</v>
      </c>
      <c r="M6" s="32">
        <v>20137.009999999998</v>
      </c>
      <c r="N6" s="32">
        <v>20992.38</v>
      </c>
      <c r="O6" s="39">
        <v>21870.04</v>
      </c>
      <c r="P6" s="53">
        <v>17725.05</v>
      </c>
      <c r="Q6" s="53">
        <v>23740.23</v>
      </c>
      <c r="R6" s="53">
        <v>24079.23</v>
      </c>
      <c r="S6" s="53">
        <v>24565.8</v>
      </c>
      <c r="T6" s="53">
        <v>17730.740000000002</v>
      </c>
      <c r="U6" s="53">
        <v>24045.7</v>
      </c>
      <c r="V6" s="53">
        <v>19448.82</v>
      </c>
      <c r="W6" s="53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29">
        <v>19813</v>
      </c>
      <c r="AD6" s="230">
        <v>22313</v>
      </c>
      <c r="AE6" s="230">
        <v>24313</v>
      </c>
      <c r="AF6" s="230">
        <v>26313</v>
      </c>
      <c r="AG6" s="231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50">
        <v>73185.81</v>
      </c>
      <c r="BK6" s="22">
        <v>65508.800000000003</v>
      </c>
    </row>
    <row r="7" spans="1:63" x14ac:dyDescent="0.3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38">
        <v>16545.14</v>
      </c>
      <c r="K7" s="32">
        <v>17275.63</v>
      </c>
      <c r="L7" s="32">
        <v>18906.93</v>
      </c>
      <c r="M7" s="32">
        <v>20137.009999999998</v>
      </c>
      <c r="N7" s="32">
        <v>20992.38</v>
      </c>
      <c r="O7" s="39">
        <v>21870.04</v>
      </c>
      <c r="P7" s="53">
        <v>17725.05</v>
      </c>
      <c r="Q7" s="53">
        <v>23740.23</v>
      </c>
      <c r="R7" s="53">
        <v>24079.23</v>
      </c>
      <c r="S7" s="53">
        <v>24565.8</v>
      </c>
      <c r="T7" s="53">
        <v>17730.740000000002</v>
      </c>
      <c r="U7" s="53">
        <v>24045.7</v>
      </c>
      <c r="V7" s="53">
        <v>19448.82</v>
      </c>
      <c r="W7" s="53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29">
        <v>20083</v>
      </c>
      <c r="AD7" s="230">
        <v>22583</v>
      </c>
      <c r="AE7" s="230">
        <v>24583</v>
      </c>
      <c r="AF7" s="230">
        <v>26583</v>
      </c>
      <c r="AG7" s="231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50">
        <v>73185.81</v>
      </c>
      <c r="BK7" s="22">
        <v>65508.800000000003</v>
      </c>
    </row>
    <row r="8" spans="1:63" x14ac:dyDescent="0.3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38">
        <v>16812.45</v>
      </c>
      <c r="K8" s="32">
        <v>17631.97</v>
      </c>
      <c r="L8" s="32">
        <v>19619.57</v>
      </c>
      <c r="M8" s="32">
        <v>20849.650000000001</v>
      </c>
      <c r="N8" s="32">
        <v>21348.720000000001</v>
      </c>
      <c r="O8" s="39">
        <v>22226.38</v>
      </c>
      <c r="P8" s="53">
        <v>17725.05</v>
      </c>
      <c r="Q8" s="53">
        <v>23740.23</v>
      </c>
      <c r="R8" s="53">
        <v>24079.23</v>
      </c>
      <c r="S8" s="53">
        <v>24565.8</v>
      </c>
      <c r="T8" s="53">
        <v>17730.740000000002</v>
      </c>
      <c r="U8" s="53">
        <v>24045.7</v>
      </c>
      <c r="V8" s="53">
        <v>19448.82</v>
      </c>
      <c r="W8" s="53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29">
        <v>20352</v>
      </c>
      <c r="AD8" s="230">
        <v>22852</v>
      </c>
      <c r="AE8" s="230">
        <v>24852</v>
      </c>
      <c r="AF8" s="230">
        <v>26852</v>
      </c>
      <c r="AG8" s="231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50">
        <v>73185.81</v>
      </c>
      <c r="BK8" s="22">
        <v>65508.800000000003</v>
      </c>
    </row>
    <row r="9" spans="1:63" x14ac:dyDescent="0.3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38">
        <v>16812.45</v>
      </c>
      <c r="K9" s="32">
        <v>17631.97</v>
      </c>
      <c r="L9" s="32">
        <v>19619.57</v>
      </c>
      <c r="M9" s="32">
        <v>20849.650000000001</v>
      </c>
      <c r="N9" s="32">
        <v>21348.720000000001</v>
      </c>
      <c r="O9" s="39">
        <v>22226.38</v>
      </c>
      <c r="P9" s="53">
        <v>17725.05</v>
      </c>
      <c r="Q9" s="53">
        <v>23740.23</v>
      </c>
      <c r="R9" s="53">
        <v>24079.23</v>
      </c>
      <c r="S9" s="53">
        <v>24565.8</v>
      </c>
      <c r="T9" s="53">
        <v>17730.740000000002</v>
      </c>
      <c r="U9" s="53">
        <v>24045.7</v>
      </c>
      <c r="V9" s="53">
        <v>19448.82</v>
      </c>
      <c r="W9" s="53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29">
        <v>20622</v>
      </c>
      <c r="AD9" s="230">
        <v>23122</v>
      </c>
      <c r="AE9" s="230">
        <v>25122</v>
      </c>
      <c r="AF9" s="230">
        <v>27122</v>
      </c>
      <c r="AG9" s="231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50">
        <v>73185.81</v>
      </c>
      <c r="BK9" s="22">
        <v>65508.800000000003</v>
      </c>
    </row>
    <row r="10" spans="1:63" x14ac:dyDescent="0.3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38">
        <v>17168.79</v>
      </c>
      <c r="K10" s="32">
        <v>17988.310000000001</v>
      </c>
      <c r="L10" s="32">
        <v>20332.21</v>
      </c>
      <c r="M10" s="32">
        <v>21562.29</v>
      </c>
      <c r="N10" s="32">
        <v>21705.06</v>
      </c>
      <c r="O10" s="39">
        <v>22582.720000000001</v>
      </c>
      <c r="P10" s="53">
        <v>17725.05</v>
      </c>
      <c r="Q10" s="53">
        <v>23740.23</v>
      </c>
      <c r="R10" s="53">
        <v>24079.23</v>
      </c>
      <c r="S10" s="53">
        <v>24565.8</v>
      </c>
      <c r="T10" s="53">
        <v>17730.740000000002</v>
      </c>
      <c r="U10" s="53">
        <v>24045.7</v>
      </c>
      <c r="V10" s="53">
        <v>19448.82</v>
      </c>
      <c r="W10" s="53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29">
        <v>20892</v>
      </c>
      <c r="AD10" s="230">
        <v>23392</v>
      </c>
      <c r="AE10" s="230">
        <v>25392</v>
      </c>
      <c r="AF10" s="230">
        <v>27392</v>
      </c>
      <c r="AG10" s="231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50">
        <v>73185.81</v>
      </c>
      <c r="BK10" s="22">
        <v>65508.800000000003</v>
      </c>
    </row>
    <row r="11" spans="1:63" x14ac:dyDescent="0.3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38">
        <v>17168.79</v>
      </c>
      <c r="K11" s="32">
        <v>17988.310000000001</v>
      </c>
      <c r="L11" s="32">
        <v>20332.21</v>
      </c>
      <c r="M11" s="32">
        <v>21562.29</v>
      </c>
      <c r="N11" s="32">
        <v>21705.06</v>
      </c>
      <c r="O11" s="39">
        <v>22582.720000000001</v>
      </c>
      <c r="P11" s="53">
        <v>17725.05</v>
      </c>
      <c r="Q11" s="53">
        <v>23740.23</v>
      </c>
      <c r="R11" s="53">
        <v>24079.23</v>
      </c>
      <c r="S11" s="53">
        <v>24565.8</v>
      </c>
      <c r="T11" s="53">
        <v>17730.740000000002</v>
      </c>
      <c r="U11" s="53">
        <v>24045.7</v>
      </c>
      <c r="V11" s="53">
        <v>19448.82</v>
      </c>
      <c r="W11" s="53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29">
        <v>21161</v>
      </c>
      <c r="AD11" s="230">
        <v>23661</v>
      </c>
      <c r="AE11" s="230">
        <v>25661</v>
      </c>
      <c r="AF11" s="230">
        <v>27661</v>
      </c>
      <c r="AG11" s="231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50">
        <v>73185.81</v>
      </c>
      <c r="BK11" s="22">
        <v>65508.800000000003</v>
      </c>
    </row>
    <row r="12" spans="1:63" x14ac:dyDescent="0.3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38">
        <v>17881.43</v>
      </c>
      <c r="K12" s="32">
        <v>18611.919999999998</v>
      </c>
      <c r="L12" s="32">
        <v>20955.82</v>
      </c>
      <c r="M12" s="32">
        <v>22185.9</v>
      </c>
      <c r="N12" s="32">
        <v>22417.7</v>
      </c>
      <c r="O12" s="39">
        <v>23295.360000000001</v>
      </c>
      <c r="P12" s="53">
        <v>17725.05</v>
      </c>
      <c r="Q12" s="53">
        <v>23740.23</v>
      </c>
      <c r="R12" s="53">
        <v>24079.23</v>
      </c>
      <c r="S12" s="53">
        <v>24565.8</v>
      </c>
      <c r="T12" s="53">
        <v>17730.740000000002</v>
      </c>
      <c r="U12" s="53">
        <v>24045.7</v>
      </c>
      <c r="V12" s="53">
        <v>19448.82</v>
      </c>
      <c r="W12" s="53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29">
        <v>21431</v>
      </c>
      <c r="AD12" s="230">
        <v>23931</v>
      </c>
      <c r="AE12" s="230">
        <v>25931</v>
      </c>
      <c r="AF12" s="230">
        <v>27931</v>
      </c>
      <c r="AG12" s="231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50">
        <v>73185.81</v>
      </c>
      <c r="BK12" s="22">
        <v>65508.800000000003</v>
      </c>
    </row>
    <row r="13" spans="1:63" x14ac:dyDescent="0.3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38">
        <v>17881.43</v>
      </c>
      <c r="K13" s="32">
        <v>18611.919999999998</v>
      </c>
      <c r="L13" s="32">
        <v>20955.82</v>
      </c>
      <c r="M13" s="32">
        <v>22185.9</v>
      </c>
      <c r="N13" s="32">
        <v>22417.7</v>
      </c>
      <c r="O13" s="39">
        <v>23295.360000000001</v>
      </c>
      <c r="P13" s="53">
        <v>17725.05</v>
      </c>
      <c r="Q13" s="53">
        <v>23740.23</v>
      </c>
      <c r="R13" s="53">
        <v>24079.23</v>
      </c>
      <c r="S13" s="53">
        <v>24565.8</v>
      </c>
      <c r="T13" s="53">
        <v>17730.740000000002</v>
      </c>
      <c r="U13" s="53">
        <v>24045.7</v>
      </c>
      <c r="V13" s="53">
        <v>19448.82</v>
      </c>
      <c r="W13" s="53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29">
        <v>21701</v>
      </c>
      <c r="AD13" s="230">
        <v>24201</v>
      </c>
      <c r="AE13" s="230">
        <v>26201</v>
      </c>
      <c r="AF13" s="230">
        <v>28201</v>
      </c>
      <c r="AG13" s="231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50">
        <v>73185.81</v>
      </c>
      <c r="BK13" s="22">
        <v>65508.800000000003</v>
      </c>
    </row>
    <row r="14" spans="1:63" x14ac:dyDescent="0.3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38">
        <v>18594.07</v>
      </c>
      <c r="K14" s="32">
        <v>19235.53</v>
      </c>
      <c r="L14" s="32">
        <v>21579.43</v>
      </c>
      <c r="M14" s="32">
        <v>22809.51</v>
      </c>
      <c r="N14" s="32">
        <v>23130.34</v>
      </c>
      <c r="O14" s="39">
        <v>24008</v>
      </c>
      <c r="P14" s="53">
        <v>17725.05</v>
      </c>
      <c r="Q14" s="53">
        <v>23740.23</v>
      </c>
      <c r="R14" s="53">
        <v>24079.23</v>
      </c>
      <c r="S14" s="53">
        <v>24565.8</v>
      </c>
      <c r="T14" s="53">
        <v>17730.740000000002</v>
      </c>
      <c r="U14" s="53">
        <v>24045.7</v>
      </c>
      <c r="V14" s="53">
        <v>19448.82</v>
      </c>
      <c r="W14" s="53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29">
        <v>21970</v>
      </c>
      <c r="AD14" s="230">
        <v>24470</v>
      </c>
      <c r="AE14" s="230">
        <v>26470</v>
      </c>
      <c r="AF14" s="230">
        <v>28470</v>
      </c>
      <c r="AG14" s="231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50">
        <v>73185.81</v>
      </c>
      <c r="BK14" s="22">
        <v>65508.800000000003</v>
      </c>
    </row>
    <row r="15" spans="1:63" x14ac:dyDescent="0.3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38">
        <v>18594.07</v>
      </c>
      <c r="K15" s="32">
        <v>19235.53</v>
      </c>
      <c r="L15" s="32">
        <v>21579.43</v>
      </c>
      <c r="M15" s="32">
        <v>22809.51</v>
      </c>
      <c r="N15" s="32">
        <v>23130.34</v>
      </c>
      <c r="O15" s="39">
        <v>24008</v>
      </c>
      <c r="P15" s="53">
        <v>17725.05</v>
      </c>
      <c r="Q15" s="53">
        <v>23740.23</v>
      </c>
      <c r="R15" s="53">
        <v>24079.23</v>
      </c>
      <c r="S15" s="53">
        <v>24565.8</v>
      </c>
      <c r="T15" s="53">
        <v>17730.740000000002</v>
      </c>
      <c r="U15" s="53">
        <v>24045.7</v>
      </c>
      <c r="V15" s="53">
        <v>19448.82</v>
      </c>
      <c r="W15" s="53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29">
        <v>22240</v>
      </c>
      <c r="AD15" s="230">
        <v>24740</v>
      </c>
      <c r="AE15" s="230">
        <v>26740</v>
      </c>
      <c r="AF15" s="230">
        <v>28740</v>
      </c>
      <c r="AG15" s="231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50">
        <v>73185.81</v>
      </c>
      <c r="BK15" s="22">
        <v>65508.800000000003</v>
      </c>
    </row>
    <row r="16" spans="1:63" x14ac:dyDescent="0.3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38">
        <v>19217.68</v>
      </c>
      <c r="K16" s="32">
        <v>19859.14</v>
      </c>
      <c r="L16" s="32">
        <v>22203.040000000001</v>
      </c>
      <c r="M16" s="32">
        <v>23433.119999999999</v>
      </c>
      <c r="N16" s="32">
        <v>23753.95</v>
      </c>
      <c r="O16" s="39">
        <v>24631.61</v>
      </c>
      <c r="P16" s="53">
        <v>17725.05</v>
      </c>
      <c r="Q16" s="53">
        <v>23740.23</v>
      </c>
      <c r="R16" s="53">
        <v>24079.23</v>
      </c>
      <c r="S16" s="53">
        <v>24565.8</v>
      </c>
      <c r="T16" s="53">
        <v>17730.740000000002</v>
      </c>
      <c r="U16" s="53">
        <v>24045.7</v>
      </c>
      <c r="V16" s="53">
        <v>19448.82</v>
      </c>
      <c r="W16" s="53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29">
        <v>22510</v>
      </c>
      <c r="AD16" s="230">
        <v>25010</v>
      </c>
      <c r="AE16" s="230">
        <v>27010</v>
      </c>
      <c r="AF16" s="230">
        <v>29010</v>
      </c>
      <c r="AG16" s="231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50">
        <v>73185.81</v>
      </c>
      <c r="BK16" s="22">
        <v>65508.800000000003</v>
      </c>
    </row>
    <row r="17" spans="1:63" x14ac:dyDescent="0.3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38">
        <v>19217.68</v>
      </c>
      <c r="K17" s="32">
        <v>19859.14</v>
      </c>
      <c r="L17" s="32">
        <v>22203.040000000001</v>
      </c>
      <c r="M17" s="32">
        <v>23433.119999999999</v>
      </c>
      <c r="N17" s="32">
        <v>23753.95</v>
      </c>
      <c r="O17" s="39">
        <v>24631.61</v>
      </c>
      <c r="P17" s="53">
        <v>17725.05</v>
      </c>
      <c r="Q17" s="53">
        <v>23740.23</v>
      </c>
      <c r="R17" s="53">
        <v>24079.23</v>
      </c>
      <c r="S17" s="53">
        <v>24565.8</v>
      </c>
      <c r="T17" s="53">
        <v>17730.740000000002</v>
      </c>
      <c r="U17" s="53">
        <v>24045.7</v>
      </c>
      <c r="V17" s="53">
        <v>19448.82</v>
      </c>
      <c r="W17" s="53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29">
        <v>22779</v>
      </c>
      <c r="AD17" s="230">
        <v>25279</v>
      </c>
      <c r="AE17" s="230">
        <v>27279</v>
      </c>
      <c r="AF17" s="230">
        <v>29279</v>
      </c>
      <c r="AG17" s="231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50">
        <v>73185.81</v>
      </c>
      <c r="BK17" s="22">
        <v>65508.800000000003</v>
      </c>
    </row>
    <row r="18" spans="1:63" x14ac:dyDescent="0.3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38">
        <v>19841.29</v>
      </c>
      <c r="K18" s="32">
        <v>20482.75</v>
      </c>
      <c r="L18" s="32">
        <v>22826.65</v>
      </c>
      <c r="M18" s="32">
        <v>24056.73</v>
      </c>
      <c r="N18" s="32">
        <v>24377.56</v>
      </c>
      <c r="O18" s="39">
        <v>25255.22</v>
      </c>
      <c r="P18" s="53">
        <v>17725.05</v>
      </c>
      <c r="Q18" s="53">
        <v>23740.23</v>
      </c>
      <c r="R18" s="53">
        <v>24079.23</v>
      </c>
      <c r="S18" s="53">
        <v>24565.8</v>
      </c>
      <c r="T18" s="53">
        <v>17730.740000000002</v>
      </c>
      <c r="U18" s="53">
        <v>24045.7</v>
      </c>
      <c r="V18" s="53">
        <v>19448.82</v>
      </c>
      <c r="W18" s="53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29">
        <v>23049</v>
      </c>
      <c r="AD18" s="230">
        <v>25549</v>
      </c>
      <c r="AE18" s="230">
        <v>27549</v>
      </c>
      <c r="AF18" s="230">
        <v>29549</v>
      </c>
      <c r="AG18" s="231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50">
        <v>73185.81</v>
      </c>
      <c r="BK18" s="22">
        <v>65508.800000000003</v>
      </c>
    </row>
    <row r="19" spans="1:63" x14ac:dyDescent="0.3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38">
        <v>19841.29</v>
      </c>
      <c r="K19" s="32">
        <v>20482.75</v>
      </c>
      <c r="L19" s="32">
        <v>22826.65</v>
      </c>
      <c r="M19" s="32">
        <v>24056.73</v>
      </c>
      <c r="N19" s="32">
        <v>24377.56</v>
      </c>
      <c r="O19" s="39">
        <v>25255.22</v>
      </c>
      <c r="P19" s="53">
        <v>17725.05</v>
      </c>
      <c r="Q19" s="53">
        <v>23740.23</v>
      </c>
      <c r="R19" s="53">
        <v>24079.23</v>
      </c>
      <c r="S19" s="53">
        <v>24565.8</v>
      </c>
      <c r="T19" s="53">
        <v>17730.740000000002</v>
      </c>
      <c r="U19" s="53">
        <v>24045.7</v>
      </c>
      <c r="V19" s="53">
        <v>19448.82</v>
      </c>
      <c r="W19" s="53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29">
        <v>23318</v>
      </c>
      <c r="AD19" s="230">
        <v>25818</v>
      </c>
      <c r="AE19" s="230">
        <v>27818</v>
      </c>
      <c r="AF19" s="230">
        <v>29818</v>
      </c>
      <c r="AG19" s="231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50">
        <v>73185.81</v>
      </c>
      <c r="BK19" s="22">
        <v>65508.800000000003</v>
      </c>
    </row>
    <row r="20" spans="1:63" x14ac:dyDescent="0.3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38">
        <v>20464.900000000001</v>
      </c>
      <c r="K20" s="32">
        <v>21106.36</v>
      </c>
      <c r="L20" s="32">
        <v>23450.26</v>
      </c>
      <c r="M20" s="32">
        <v>24680.34</v>
      </c>
      <c r="N20" s="32">
        <v>25001.17</v>
      </c>
      <c r="O20" s="39">
        <v>25878.83</v>
      </c>
      <c r="P20" s="53">
        <v>17725.05</v>
      </c>
      <c r="Q20" s="53">
        <v>23740.23</v>
      </c>
      <c r="R20" s="53">
        <v>24079.23</v>
      </c>
      <c r="S20" s="53">
        <v>24565.8</v>
      </c>
      <c r="T20" s="53">
        <v>17730.740000000002</v>
      </c>
      <c r="U20" s="53">
        <v>24045.7</v>
      </c>
      <c r="V20" s="53">
        <v>19448.82</v>
      </c>
      <c r="W20" s="53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29">
        <v>23588</v>
      </c>
      <c r="AD20" s="230">
        <v>26088</v>
      </c>
      <c r="AE20" s="230">
        <v>28088</v>
      </c>
      <c r="AF20" s="230">
        <v>30088</v>
      </c>
      <c r="AG20" s="231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50">
        <v>73185.81</v>
      </c>
      <c r="BK20" s="22">
        <v>65508.800000000003</v>
      </c>
    </row>
    <row r="21" spans="1:63" x14ac:dyDescent="0.3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38">
        <v>20464.900000000001</v>
      </c>
      <c r="K21" s="32">
        <v>21106.36</v>
      </c>
      <c r="L21" s="32">
        <v>23450.26</v>
      </c>
      <c r="M21" s="32">
        <v>24680.34</v>
      </c>
      <c r="N21" s="32">
        <v>25001.17</v>
      </c>
      <c r="O21" s="39">
        <v>25878.33</v>
      </c>
      <c r="P21" s="53">
        <v>17725.05</v>
      </c>
      <c r="Q21" s="53">
        <v>23740.23</v>
      </c>
      <c r="R21" s="53">
        <v>24079.23</v>
      </c>
      <c r="S21" s="53">
        <v>24565.8</v>
      </c>
      <c r="T21" s="53">
        <v>17730.740000000002</v>
      </c>
      <c r="U21" s="53">
        <v>24045.7</v>
      </c>
      <c r="V21" s="53">
        <v>19448.82</v>
      </c>
      <c r="W21" s="53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29">
        <v>23858</v>
      </c>
      <c r="AD21" s="230">
        <v>26358</v>
      </c>
      <c r="AE21" s="230">
        <v>28358</v>
      </c>
      <c r="AF21" s="230">
        <v>30358</v>
      </c>
      <c r="AG21" s="231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50">
        <v>73185.81</v>
      </c>
      <c r="BK21" s="22">
        <v>65508.800000000003</v>
      </c>
    </row>
    <row r="22" spans="1:63" x14ac:dyDescent="0.3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38">
        <v>21088.51</v>
      </c>
      <c r="K22" s="32">
        <v>21729.97</v>
      </c>
      <c r="L22" s="32">
        <v>24073.87</v>
      </c>
      <c r="M22" s="32">
        <v>25303.95</v>
      </c>
      <c r="N22" s="32">
        <v>25624.78</v>
      </c>
      <c r="O22" s="39">
        <v>26502.44</v>
      </c>
      <c r="P22" s="53">
        <v>17725.05</v>
      </c>
      <c r="Q22" s="53">
        <v>23740.23</v>
      </c>
      <c r="R22" s="53">
        <v>24079.23</v>
      </c>
      <c r="S22" s="53">
        <v>24565.8</v>
      </c>
      <c r="T22" s="53">
        <v>17730.740000000002</v>
      </c>
      <c r="U22" s="53">
        <v>24045.7</v>
      </c>
      <c r="V22" s="53">
        <v>19448.82</v>
      </c>
      <c r="W22" s="53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29">
        <v>24127</v>
      </c>
      <c r="AD22" s="230">
        <v>26627</v>
      </c>
      <c r="AE22" s="230">
        <v>28627</v>
      </c>
      <c r="AF22" s="230">
        <v>30627</v>
      </c>
      <c r="AG22" s="231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50">
        <v>73185.81</v>
      </c>
      <c r="BK22" s="22">
        <v>65508.800000000003</v>
      </c>
    </row>
    <row r="23" spans="1:63" x14ac:dyDescent="0.3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38">
        <v>21088.51</v>
      </c>
      <c r="K23" s="32">
        <v>21729.97</v>
      </c>
      <c r="L23" s="32">
        <v>24073.87</v>
      </c>
      <c r="M23" s="32">
        <v>25303.95</v>
      </c>
      <c r="N23" s="32">
        <v>25624.78</v>
      </c>
      <c r="O23" s="39">
        <v>26502.44</v>
      </c>
      <c r="P23" s="53">
        <v>17725.05</v>
      </c>
      <c r="Q23" s="53">
        <v>23740.23</v>
      </c>
      <c r="R23" s="53">
        <v>24079.23</v>
      </c>
      <c r="S23" s="53">
        <v>24565.8</v>
      </c>
      <c r="T23" s="53">
        <v>17730.740000000002</v>
      </c>
      <c r="U23" s="53">
        <v>24045.7</v>
      </c>
      <c r="V23" s="53">
        <v>19448.82</v>
      </c>
      <c r="W23" s="53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29">
        <v>24397</v>
      </c>
      <c r="AD23" s="230">
        <v>26897</v>
      </c>
      <c r="AE23" s="230">
        <v>28897</v>
      </c>
      <c r="AF23" s="230">
        <v>30897</v>
      </c>
      <c r="AG23" s="231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50">
        <v>73185.81</v>
      </c>
      <c r="BK23" s="22">
        <v>65508.800000000003</v>
      </c>
    </row>
    <row r="24" spans="1:63" x14ac:dyDescent="0.3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38">
        <v>21712.12</v>
      </c>
      <c r="K24" s="32">
        <v>22353.58</v>
      </c>
      <c r="L24" s="32">
        <v>24430.21</v>
      </c>
      <c r="M24" s="32">
        <v>25660.29</v>
      </c>
      <c r="N24" s="32">
        <v>26248.39</v>
      </c>
      <c r="O24" s="39">
        <v>27126.05</v>
      </c>
      <c r="P24" s="53">
        <v>17725.05</v>
      </c>
      <c r="Q24" s="53">
        <v>23740.23</v>
      </c>
      <c r="R24" s="53">
        <v>24079.23</v>
      </c>
      <c r="S24" s="53">
        <v>24565.8</v>
      </c>
      <c r="T24" s="53">
        <v>17730.740000000002</v>
      </c>
      <c r="U24" s="53">
        <v>24045.7</v>
      </c>
      <c r="V24" s="53">
        <v>19448.82</v>
      </c>
      <c r="W24" s="53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29">
        <v>24667</v>
      </c>
      <c r="AD24" s="230">
        <v>27167</v>
      </c>
      <c r="AE24" s="230">
        <v>29167</v>
      </c>
      <c r="AF24" s="230">
        <v>31167</v>
      </c>
      <c r="AG24" s="231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50">
        <v>73185.81</v>
      </c>
      <c r="BK24" s="22">
        <v>65508.800000000003</v>
      </c>
    </row>
    <row r="25" spans="1:63" x14ac:dyDescent="0.3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38">
        <v>21712.12</v>
      </c>
      <c r="K25" s="32">
        <v>22353.58</v>
      </c>
      <c r="L25" s="32">
        <v>24430.21</v>
      </c>
      <c r="M25" s="32">
        <v>25660.29</v>
      </c>
      <c r="N25" s="32">
        <v>26248.39</v>
      </c>
      <c r="O25" s="39">
        <v>27126.05</v>
      </c>
      <c r="P25" s="53">
        <v>17725.05</v>
      </c>
      <c r="Q25" s="53">
        <v>23740.23</v>
      </c>
      <c r="R25" s="53">
        <v>24079.23</v>
      </c>
      <c r="S25" s="53">
        <v>24565.8</v>
      </c>
      <c r="T25" s="53">
        <v>17730.740000000002</v>
      </c>
      <c r="U25" s="53">
        <v>24045.7</v>
      </c>
      <c r="V25" s="53">
        <v>19448.82</v>
      </c>
      <c r="W25" s="53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29">
        <v>24936</v>
      </c>
      <c r="AD25" s="230">
        <v>27436</v>
      </c>
      <c r="AE25" s="230">
        <v>29436</v>
      </c>
      <c r="AF25" s="230">
        <v>31436</v>
      </c>
      <c r="AG25" s="231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50">
        <v>73185.81</v>
      </c>
      <c r="BK25" s="22">
        <v>65508.800000000003</v>
      </c>
    </row>
    <row r="26" spans="1:63" x14ac:dyDescent="0.3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38">
        <v>22335.73</v>
      </c>
      <c r="K26" s="32">
        <v>22977.19</v>
      </c>
      <c r="L26" s="32">
        <v>24786.55</v>
      </c>
      <c r="M26" s="32">
        <v>26016.63</v>
      </c>
      <c r="N26" s="32">
        <v>26872</v>
      </c>
      <c r="O26" s="39">
        <v>27749.66</v>
      </c>
      <c r="P26" s="53">
        <v>17725.05</v>
      </c>
      <c r="Q26" s="53">
        <v>23740.23</v>
      </c>
      <c r="R26" s="53">
        <v>24079.23</v>
      </c>
      <c r="S26" s="53">
        <v>24565.8</v>
      </c>
      <c r="T26" s="53">
        <v>17730.740000000002</v>
      </c>
      <c r="U26" s="53">
        <v>24045.7</v>
      </c>
      <c r="V26" s="53">
        <v>19448.82</v>
      </c>
      <c r="W26" s="53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29">
        <v>25206</v>
      </c>
      <c r="AD26" s="230">
        <v>27706</v>
      </c>
      <c r="AE26" s="230">
        <v>29706</v>
      </c>
      <c r="AF26" s="230">
        <v>31706</v>
      </c>
      <c r="AG26" s="231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50">
        <v>73185.81</v>
      </c>
      <c r="BK26" s="22">
        <v>65508.800000000003</v>
      </c>
    </row>
    <row r="27" spans="1:63" x14ac:dyDescent="0.3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38">
        <v>22335.73</v>
      </c>
      <c r="K27" s="32">
        <v>22977.19</v>
      </c>
      <c r="L27" s="32">
        <v>24786.55</v>
      </c>
      <c r="M27" s="32">
        <v>26016.63</v>
      </c>
      <c r="N27" s="32">
        <v>26872</v>
      </c>
      <c r="O27" s="39">
        <v>27749.66</v>
      </c>
      <c r="P27" s="53">
        <v>17725.05</v>
      </c>
      <c r="Q27" s="53">
        <v>23740.23</v>
      </c>
      <c r="R27" s="53">
        <v>24079.23</v>
      </c>
      <c r="S27" s="53">
        <v>24565.8</v>
      </c>
      <c r="T27" s="53">
        <v>17730.740000000002</v>
      </c>
      <c r="U27" s="53">
        <v>24045.7</v>
      </c>
      <c r="V27" s="53">
        <v>19448.82</v>
      </c>
      <c r="W27" s="53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29">
        <v>25476</v>
      </c>
      <c r="AD27" s="230">
        <v>27976</v>
      </c>
      <c r="AE27" s="230">
        <v>29976</v>
      </c>
      <c r="AF27" s="230">
        <v>31976</v>
      </c>
      <c r="AG27" s="231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50">
        <v>73185.81</v>
      </c>
      <c r="BK27" s="22">
        <v>65508.800000000003</v>
      </c>
    </row>
    <row r="28" spans="1:63" x14ac:dyDescent="0.3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38">
        <v>22959.34</v>
      </c>
      <c r="K28" s="32">
        <v>23600.799999999999</v>
      </c>
      <c r="L28" s="32">
        <v>25142.89</v>
      </c>
      <c r="M28" s="32">
        <v>26372.97</v>
      </c>
      <c r="N28" s="32">
        <v>27495.61</v>
      </c>
      <c r="O28" s="39">
        <v>28373.27</v>
      </c>
      <c r="P28" s="53">
        <v>17725.05</v>
      </c>
      <c r="Q28" s="53">
        <v>23740.23</v>
      </c>
      <c r="R28" s="53">
        <v>24079.23</v>
      </c>
      <c r="S28" s="53">
        <v>24565.8</v>
      </c>
      <c r="T28" s="53">
        <v>17730.740000000002</v>
      </c>
      <c r="U28" s="53">
        <v>24045.7</v>
      </c>
      <c r="V28" s="53">
        <v>19448.82</v>
      </c>
      <c r="W28" s="53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29">
        <v>25745</v>
      </c>
      <c r="AD28" s="230">
        <v>28245</v>
      </c>
      <c r="AE28" s="230">
        <v>30245</v>
      </c>
      <c r="AF28" s="230">
        <v>32245</v>
      </c>
      <c r="AG28" s="231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50">
        <v>73185.81</v>
      </c>
      <c r="BK28" s="22">
        <v>65508.800000000003</v>
      </c>
    </row>
    <row r="29" spans="1:63" x14ac:dyDescent="0.3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38">
        <v>22959.34</v>
      </c>
      <c r="K29" s="32">
        <v>23600.799999999999</v>
      </c>
      <c r="L29" s="32">
        <v>25142.89</v>
      </c>
      <c r="M29" s="32">
        <v>26372.97</v>
      </c>
      <c r="N29" s="32">
        <v>27495.61</v>
      </c>
      <c r="O29" s="39">
        <v>28373.27</v>
      </c>
      <c r="P29" s="53">
        <v>17725.05</v>
      </c>
      <c r="Q29" s="53">
        <v>23740.23</v>
      </c>
      <c r="R29" s="53">
        <v>24079.23</v>
      </c>
      <c r="S29" s="53">
        <v>24565.8</v>
      </c>
      <c r="T29" s="53">
        <v>17730.740000000002</v>
      </c>
      <c r="U29" s="53">
        <v>24045.7</v>
      </c>
      <c r="V29" s="53">
        <v>19448.82</v>
      </c>
      <c r="W29" s="53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29">
        <v>26015</v>
      </c>
      <c r="AD29" s="230">
        <v>28515</v>
      </c>
      <c r="AE29" s="230">
        <v>30515</v>
      </c>
      <c r="AF29" s="230">
        <v>32515</v>
      </c>
      <c r="AG29" s="231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50">
        <v>73185.81</v>
      </c>
      <c r="BK29" s="22">
        <v>65508.800000000003</v>
      </c>
    </row>
    <row r="30" spans="1:63" x14ac:dyDescent="0.3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38">
        <v>23582.95</v>
      </c>
      <c r="K30" s="32">
        <v>24224.41</v>
      </c>
      <c r="L30" s="32">
        <v>25499.23</v>
      </c>
      <c r="M30" s="32">
        <v>26729.31</v>
      </c>
      <c r="N30" s="32">
        <v>28119.22</v>
      </c>
      <c r="O30" s="39">
        <v>28996.880000000001</v>
      </c>
      <c r="P30" s="53">
        <v>17725.05</v>
      </c>
      <c r="Q30" s="53">
        <v>23740.23</v>
      </c>
      <c r="R30" s="53">
        <v>24079.23</v>
      </c>
      <c r="S30" s="53">
        <v>24565.8</v>
      </c>
      <c r="T30" s="53">
        <v>17730.740000000002</v>
      </c>
      <c r="U30" s="53">
        <v>24045.7</v>
      </c>
      <c r="V30" s="53">
        <v>19448.82</v>
      </c>
      <c r="W30" s="53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29">
        <v>26285</v>
      </c>
      <c r="AD30" s="230">
        <v>28785</v>
      </c>
      <c r="AE30" s="230">
        <v>30785</v>
      </c>
      <c r="AF30" s="230">
        <v>32785</v>
      </c>
      <c r="AG30" s="231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50">
        <v>73185.81</v>
      </c>
      <c r="BK30" s="22">
        <v>65508.800000000003</v>
      </c>
    </row>
    <row r="31" spans="1:63" x14ac:dyDescent="0.3">
      <c r="A31" s="27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38">
        <v>23582.95</v>
      </c>
      <c r="K31" s="32">
        <v>24224.41</v>
      </c>
      <c r="L31" s="32">
        <v>25499.23</v>
      </c>
      <c r="M31" s="32">
        <v>26729.31</v>
      </c>
      <c r="N31" s="32">
        <v>28119.22</v>
      </c>
      <c r="O31" s="39">
        <v>28996.880000000001</v>
      </c>
      <c r="P31" s="53">
        <v>17725.05</v>
      </c>
      <c r="Q31" s="53">
        <v>23740.23</v>
      </c>
      <c r="R31" s="53">
        <v>24079.23</v>
      </c>
      <c r="S31" s="53">
        <v>24565.8</v>
      </c>
      <c r="T31" s="53">
        <v>17730.740000000002</v>
      </c>
      <c r="U31" s="53">
        <v>24045.7</v>
      </c>
      <c r="V31" s="53">
        <v>19448.82</v>
      </c>
      <c r="W31" s="53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29">
        <v>26554</v>
      </c>
      <c r="AD31" s="230">
        <v>29054</v>
      </c>
      <c r="AE31" s="230">
        <v>31054</v>
      </c>
      <c r="AF31" s="230">
        <v>33054</v>
      </c>
      <c r="AG31" s="231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29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28">
        <v>39702.74</v>
      </c>
      <c r="BE31" s="29">
        <v>44422.61</v>
      </c>
      <c r="BF31" s="29">
        <v>46588.73</v>
      </c>
      <c r="BG31" s="29">
        <v>51029.599999999999</v>
      </c>
      <c r="BH31" s="29">
        <v>51029.45</v>
      </c>
      <c r="BI31" s="30">
        <v>52466.82</v>
      </c>
      <c r="BJ31" s="50">
        <v>73185.81</v>
      </c>
      <c r="BK31" s="22">
        <v>65508.800000000003</v>
      </c>
    </row>
    <row r="32" spans="1:63" x14ac:dyDescent="0.3">
      <c r="A32" s="34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38">
        <v>24206.560000000001</v>
      </c>
      <c r="K32" s="32">
        <v>24848.02</v>
      </c>
      <c r="L32" s="32">
        <v>25855.57</v>
      </c>
      <c r="M32" s="32">
        <v>27085.65</v>
      </c>
      <c r="N32" s="32">
        <v>28742.83</v>
      </c>
      <c r="O32" s="39">
        <v>29620.49</v>
      </c>
      <c r="P32" s="53">
        <v>17725.05</v>
      </c>
      <c r="Q32" s="53">
        <v>23740.23</v>
      </c>
      <c r="R32" s="53">
        <v>24079.23</v>
      </c>
      <c r="S32" s="53">
        <v>24565.8</v>
      </c>
      <c r="T32" s="53">
        <v>17730.740000000002</v>
      </c>
      <c r="U32" s="53">
        <v>24045.7</v>
      </c>
      <c r="V32" s="53">
        <v>19448.82</v>
      </c>
      <c r="W32" s="53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29">
        <v>26824</v>
      </c>
      <c r="AD32" s="230">
        <v>29324</v>
      </c>
      <c r="AE32" s="230">
        <v>31324</v>
      </c>
      <c r="AF32" s="230">
        <v>33324</v>
      </c>
      <c r="AG32" s="231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36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50">
        <v>73185.81</v>
      </c>
      <c r="BK32" s="22">
        <v>65508.800000000003</v>
      </c>
    </row>
    <row r="33" spans="1:63" x14ac:dyDescent="0.3">
      <c r="A33" s="34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38">
        <v>24206.560000000001</v>
      </c>
      <c r="K33" s="32">
        <v>24848.02</v>
      </c>
      <c r="L33" s="32">
        <v>25855.57</v>
      </c>
      <c r="M33" s="32">
        <v>27085.65</v>
      </c>
      <c r="N33" s="32">
        <v>28742.83</v>
      </c>
      <c r="O33" s="39">
        <v>29620.49</v>
      </c>
      <c r="P33" s="53">
        <v>17725.05</v>
      </c>
      <c r="Q33" s="53">
        <v>23740.23</v>
      </c>
      <c r="R33" s="53">
        <v>24079.23</v>
      </c>
      <c r="S33" s="53">
        <v>24565.8</v>
      </c>
      <c r="T33" s="53">
        <v>17730.740000000002</v>
      </c>
      <c r="U33" s="53">
        <v>24045.7</v>
      </c>
      <c r="V33" s="53">
        <v>19448.82</v>
      </c>
      <c r="W33" s="53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1">AD32</f>
        <v>29324</v>
      </c>
      <c r="AE33" s="21">
        <f t="shared" si="1"/>
        <v>31324</v>
      </c>
      <c r="AF33" s="21">
        <f t="shared" si="1"/>
        <v>33324</v>
      </c>
      <c r="AG33" s="22">
        <f t="shared" si="1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36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50">
        <v>73185.81</v>
      </c>
      <c r="BK33" s="22">
        <v>65508.800000000003</v>
      </c>
    </row>
    <row r="34" spans="1:63" ht="15" thickBot="1" x14ac:dyDescent="0.35">
      <c r="A34" s="35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40">
        <v>24206.560000000001</v>
      </c>
      <c r="K34" s="33">
        <v>24848.02</v>
      </c>
      <c r="L34" s="33">
        <v>26211.91</v>
      </c>
      <c r="M34" s="33">
        <v>27441.99</v>
      </c>
      <c r="N34" s="33">
        <v>29366.44</v>
      </c>
      <c r="O34" s="41">
        <v>30244.1</v>
      </c>
      <c r="P34" s="55">
        <v>17725.05</v>
      </c>
      <c r="Q34" s="54">
        <v>23740.23</v>
      </c>
      <c r="R34" s="54">
        <v>24079.23</v>
      </c>
      <c r="S34" s="54">
        <v>24565.8</v>
      </c>
      <c r="T34" s="54">
        <v>17730.740000000002</v>
      </c>
      <c r="U34" s="54">
        <v>24045.7</v>
      </c>
      <c r="V34" s="54">
        <v>19448.82</v>
      </c>
      <c r="W34" s="56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1"/>
        <v>29324</v>
      </c>
      <c r="AE34" s="24">
        <f t="shared" si="1"/>
        <v>31324</v>
      </c>
      <c r="AF34" s="24">
        <f t="shared" si="1"/>
        <v>33324</v>
      </c>
      <c r="AG34" s="25">
        <f t="shared" si="1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37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51">
        <v>73185.81</v>
      </c>
      <c r="BK34" s="25">
        <v>65508.800000000003</v>
      </c>
    </row>
    <row r="35" spans="1:63" x14ac:dyDescent="0.3">
      <c r="A35" s="65">
        <v>0</v>
      </c>
      <c r="B35" s="5" t="str">
        <f>B2</f>
        <v>HAU1</v>
      </c>
      <c r="C35" s="5" t="str">
        <f t="shared" ref="C35:BF35" si="2">C2</f>
        <v>HAU2</v>
      </c>
      <c r="D35" s="5" t="str">
        <f t="shared" si="2"/>
        <v>HAU3</v>
      </c>
      <c r="E35" s="5" t="str">
        <f t="shared" si="2"/>
        <v>HAU4</v>
      </c>
      <c r="F35" s="5" t="str">
        <f t="shared" si="2"/>
        <v>BASP1</v>
      </c>
      <c r="G35" s="5" t="str">
        <f t="shared" si="2"/>
        <v>BASP2</v>
      </c>
      <c r="H35" s="5" t="str">
        <f t="shared" si="2"/>
        <v>BASP3</v>
      </c>
      <c r="I35" s="5" t="str">
        <f t="shared" si="2"/>
        <v>BASP4</v>
      </c>
      <c r="J35" s="5" t="str">
        <f t="shared" si="2"/>
        <v>CSV1</v>
      </c>
      <c r="K35" s="5" t="str">
        <f t="shared" si="2"/>
        <v>CSV2</v>
      </c>
      <c r="L35" s="5" t="str">
        <f t="shared" si="2"/>
        <v>CSV3</v>
      </c>
      <c r="M35" s="5" t="str">
        <f t="shared" si="2"/>
        <v>CSV4</v>
      </c>
      <c r="N35" s="5" t="str">
        <f t="shared" si="2"/>
        <v>CSV5</v>
      </c>
      <c r="O35" s="5" t="str">
        <f t="shared" si="2"/>
        <v>CSV6</v>
      </c>
      <c r="P35" s="5" t="str">
        <f t="shared" si="2"/>
        <v>BAC1</v>
      </c>
      <c r="Q35" s="5" t="str">
        <f t="shared" si="2"/>
        <v>BAC2</v>
      </c>
      <c r="R35" s="5" t="str">
        <f t="shared" si="2"/>
        <v>BAC3</v>
      </c>
      <c r="S35" s="5" t="str">
        <f t="shared" si="2"/>
        <v>BAC4</v>
      </c>
      <c r="T35" s="5" t="str">
        <f t="shared" si="2"/>
        <v>BAC5</v>
      </c>
      <c r="U35" s="5" t="str">
        <f t="shared" si="2"/>
        <v>BAC6</v>
      </c>
      <c r="V35" s="5" t="str">
        <f t="shared" si="2"/>
        <v>BAC7</v>
      </c>
      <c r="W35" s="5" t="str">
        <f t="shared" si="2"/>
        <v>BAC8</v>
      </c>
      <c r="X35" s="5" t="str">
        <f t="shared" si="2"/>
        <v>B1</v>
      </c>
      <c r="Y35" s="5" t="str">
        <f t="shared" si="2"/>
        <v>B2</v>
      </c>
      <c r="Z35" s="5" t="str">
        <f t="shared" si="2"/>
        <v>B3</v>
      </c>
      <c r="AA35" s="5" t="str">
        <f t="shared" si="2"/>
        <v>B4</v>
      </c>
      <c r="AB35" s="5" t="str">
        <f t="shared" si="2"/>
        <v>B5</v>
      </c>
      <c r="AC35" s="5" t="str">
        <f t="shared" si="2"/>
        <v> BSV1</v>
      </c>
      <c r="AD35" s="5" t="str">
        <f t="shared" si="2"/>
        <v>BSV2</v>
      </c>
      <c r="AE35" s="5" t="str">
        <f t="shared" si="2"/>
        <v>BSV3</v>
      </c>
      <c r="AF35" s="5" t="str">
        <f t="shared" si="2"/>
        <v>BSV4</v>
      </c>
      <c r="AG35" s="5" t="str">
        <f t="shared" si="2"/>
        <v>BSV5</v>
      </c>
      <c r="AH35" s="5" t="str">
        <f t="shared" si="2"/>
        <v>M1.1</v>
      </c>
      <c r="AI35" s="5" t="str">
        <f t="shared" si="2"/>
        <v>M2.1</v>
      </c>
      <c r="AJ35" s="5" t="str">
        <f t="shared" si="2"/>
        <v>M3.1</v>
      </c>
      <c r="AK35" s="5" t="str">
        <f t="shared" si="2"/>
        <v>M4.1</v>
      </c>
      <c r="AL35" s="5" t="str">
        <f t="shared" si="2"/>
        <v>M5.1</v>
      </c>
      <c r="AM35" s="5" t="str">
        <f t="shared" si="2"/>
        <v>M6</v>
      </c>
      <c r="AN35" s="5" t="str">
        <f t="shared" si="2"/>
        <v>M7</v>
      </c>
      <c r="AO35" s="5" t="str">
        <f t="shared" si="2"/>
        <v>M1.2</v>
      </c>
      <c r="AP35" s="5" t="str">
        <f t="shared" si="2"/>
        <v>M2.2</v>
      </c>
      <c r="AQ35" s="5" t="str">
        <f t="shared" si="2"/>
        <v>M3.2</v>
      </c>
      <c r="AR35" s="5" t="str">
        <f t="shared" si="2"/>
        <v>M4.2</v>
      </c>
      <c r="AS35" s="5" t="str">
        <f t="shared" si="2"/>
        <v>M5.2</v>
      </c>
      <c r="AT35" s="5" t="str">
        <f t="shared" si="2"/>
        <v>M7 bis</v>
      </c>
      <c r="AU35" s="5" t="str">
        <f t="shared" si="2"/>
        <v>O1</v>
      </c>
      <c r="AV35" s="5" t="str">
        <f t="shared" si="2"/>
        <v>O2</v>
      </c>
      <c r="AW35" s="5" t="str">
        <f t="shared" si="2"/>
        <v>O3</v>
      </c>
      <c r="AX35" s="5" t="str">
        <f t="shared" si="2"/>
        <v>O4</v>
      </c>
      <c r="AY35" s="5" t="str">
        <f t="shared" si="2"/>
        <v>O4bis</v>
      </c>
      <c r="AZ35" s="5" t="str">
        <f t="shared" si="2"/>
        <v>O5</v>
      </c>
      <c r="BA35" s="5" t="str">
        <f t="shared" si="2"/>
        <v>O6</v>
      </c>
      <c r="BB35" s="5" t="str">
        <f t="shared" si="2"/>
        <v>O7</v>
      </c>
      <c r="BC35" s="5" t="str">
        <f t="shared" si="2"/>
        <v>O8</v>
      </c>
      <c r="BD35" s="5" t="str">
        <f t="shared" si="2"/>
        <v>O2ir</v>
      </c>
      <c r="BE35" s="5" t="str">
        <f t="shared" si="2"/>
        <v>O3ir</v>
      </c>
      <c r="BF35" s="5" t="str">
        <f t="shared" si="2"/>
        <v>O4ir</v>
      </c>
    </row>
    <row r="36" spans="1:63" x14ac:dyDescent="0.3">
      <c r="A36" s="65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31">
        <v>2</v>
      </c>
      <c r="K36" s="31">
        <v>2</v>
      </c>
      <c r="L36" s="31">
        <v>2</v>
      </c>
      <c r="M36" s="31">
        <v>2</v>
      </c>
      <c r="N36" s="31">
        <v>2</v>
      </c>
      <c r="O36" s="31">
        <v>2</v>
      </c>
      <c r="P36" s="31">
        <v>3</v>
      </c>
      <c r="Q36" s="31">
        <v>3</v>
      </c>
      <c r="R36" s="31">
        <v>3</v>
      </c>
      <c r="S36" s="31">
        <v>3</v>
      </c>
      <c r="T36" s="31">
        <v>3</v>
      </c>
      <c r="U36" s="31">
        <v>3</v>
      </c>
      <c r="V36" s="31">
        <v>3</v>
      </c>
      <c r="W36" s="31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4</v>
      </c>
      <c r="AQ36" s="5">
        <v>4</v>
      </c>
      <c r="AR36" s="5">
        <v>4</v>
      </c>
      <c r="AS36" s="5">
        <v>4</v>
      </c>
      <c r="AT36" s="5">
        <v>4</v>
      </c>
      <c r="AU36" s="5">
        <v>4.4000000000000004</v>
      </c>
      <c r="AV36" s="5">
        <v>4.4000000000000004</v>
      </c>
      <c r="AW36" s="5">
        <v>4.8</v>
      </c>
      <c r="AX36" s="5">
        <v>4.9000000000000004</v>
      </c>
      <c r="AY36" s="5">
        <v>4</v>
      </c>
      <c r="AZ36" s="5">
        <v>4</v>
      </c>
      <c r="BA36" s="5">
        <v>4</v>
      </c>
      <c r="BB36" s="5">
        <v>4</v>
      </c>
      <c r="BC36" s="5">
        <v>4.4000000000000004</v>
      </c>
      <c r="BD36" s="5">
        <v>4.4000000000000004</v>
      </c>
      <c r="BE36" s="5">
        <v>4.4000000000000004</v>
      </c>
      <c r="BF36" s="5">
        <v>4.4000000000000004</v>
      </c>
    </row>
    <row r="37" spans="1:63" x14ac:dyDescent="0.3">
      <c r="B37" s="5">
        <f>ROUND(B36,0)</f>
        <v>1</v>
      </c>
      <c r="C37" s="5">
        <f t="shared" ref="C37:BF37" si="3">ROUND(C36,0)</f>
        <v>1</v>
      </c>
      <c r="D37" s="5">
        <f t="shared" si="3"/>
        <v>1</v>
      </c>
      <c r="E37" s="5">
        <f t="shared" si="3"/>
        <v>1</v>
      </c>
      <c r="F37" s="5">
        <f t="shared" si="3"/>
        <v>1</v>
      </c>
      <c r="G37" s="5">
        <f t="shared" si="3"/>
        <v>1</v>
      </c>
      <c r="H37" s="5">
        <f t="shared" si="3"/>
        <v>1</v>
      </c>
      <c r="I37" s="5">
        <f t="shared" si="3"/>
        <v>1</v>
      </c>
      <c r="J37" s="5">
        <f t="shared" si="3"/>
        <v>2</v>
      </c>
      <c r="K37" s="5">
        <f t="shared" si="3"/>
        <v>2</v>
      </c>
      <c r="L37" s="5">
        <f t="shared" si="3"/>
        <v>2</v>
      </c>
      <c r="M37" s="5">
        <f t="shared" si="3"/>
        <v>2</v>
      </c>
      <c r="N37" s="5">
        <f t="shared" si="3"/>
        <v>2</v>
      </c>
      <c r="O37" s="5">
        <f t="shared" si="3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3"/>
        <v>2</v>
      </c>
      <c r="Y37" s="5">
        <f t="shared" si="3"/>
        <v>2</v>
      </c>
      <c r="Z37" s="5">
        <f t="shared" si="3"/>
        <v>2</v>
      </c>
      <c r="AA37" s="5">
        <f t="shared" si="3"/>
        <v>2</v>
      </c>
      <c r="AB37" s="5">
        <f t="shared" si="3"/>
        <v>2</v>
      </c>
      <c r="AC37" s="5">
        <f t="shared" si="3"/>
        <v>3</v>
      </c>
      <c r="AD37" s="5">
        <f t="shared" si="3"/>
        <v>3</v>
      </c>
      <c r="AE37" s="5">
        <f t="shared" si="3"/>
        <v>3</v>
      </c>
      <c r="AF37" s="5">
        <f t="shared" si="3"/>
        <v>3</v>
      </c>
      <c r="AG37" s="5">
        <f t="shared" si="3"/>
        <v>3</v>
      </c>
      <c r="AH37" s="5">
        <f t="shared" si="3"/>
        <v>3</v>
      </c>
      <c r="AI37" s="5">
        <f t="shared" si="3"/>
        <v>3</v>
      </c>
      <c r="AJ37" s="5">
        <f t="shared" si="3"/>
        <v>3</v>
      </c>
      <c r="AK37" s="5">
        <f t="shared" si="3"/>
        <v>3</v>
      </c>
      <c r="AL37" s="5">
        <f t="shared" si="3"/>
        <v>3</v>
      </c>
      <c r="AM37" s="5">
        <f t="shared" si="3"/>
        <v>3</v>
      </c>
      <c r="AN37" s="5">
        <f t="shared" si="3"/>
        <v>3</v>
      </c>
      <c r="AO37" s="5">
        <f t="shared" si="3"/>
        <v>3</v>
      </c>
      <c r="AP37" s="5">
        <f t="shared" si="3"/>
        <v>4</v>
      </c>
      <c r="AQ37" s="5">
        <f t="shared" si="3"/>
        <v>4</v>
      </c>
      <c r="AR37" s="5">
        <f t="shared" si="3"/>
        <v>4</v>
      </c>
      <c r="AS37" s="5">
        <f t="shared" si="3"/>
        <v>4</v>
      </c>
      <c r="AT37" s="5">
        <f t="shared" si="3"/>
        <v>4</v>
      </c>
      <c r="AU37" s="5">
        <f t="shared" si="3"/>
        <v>4</v>
      </c>
      <c r="AV37" s="5">
        <f t="shared" si="3"/>
        <v>4</v>
      </c>
      <c r="AW37" s="5">
        <f t="shared" si="3"/>
        <v>5</v>
      </c>
      <c r="AX37" s="5">
        <f t="shared" si="3"/>
        <v>5</v>
      </c>
      <c r="AY37" s="5">
        <f t="shared" si="3"/>
        <v>4</v>
      </c>
      <c r="AZ37" s="5">
        <f t="shared" si="3"/>
        <v>4</v>
      </c>
      <c r="BA37" s="5">
        <f t="shared" si="3"/>
        <v>4</v>
      </c>
      <c r="BB37" s="5">
        <f t="shared" si="3"/>
        <v>4</v>
      </c>
      <c r="BC37" s="5">
        <f t="shared" si="3"/>
        <v>4</v>
      </c>
      <c r="BD37" s="5">
        <f t="shared" si="3"/>
        <v>4</v>
      </c>
      <c r="BE37" s="5">
        <f t="shared" si="3"/>
        <v>4</v>
      </c>
      <c r="BF37" s="5">
        <f t="shared" si="3"/>
        <v>4</v>
      </c>
    </row>
    <row r="38" spans="1:63" x14ac:dyDescent="0.3">
      <c r="A38" t="s">
        <v>114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</row>
    <row r="39" spans="1:63" x14ac:dyDescent="0.3">
      <c r="A39" t="s">
        <v>113</v>
      </c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v>4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5">
        <v>2</v>
      </c>
      <c r="AD39" s="5">
        <v>2</v>
      </c>
      <c r="AE39" s="5">
        <v>2</v>
      </c>
      <c r="AF39" s="5">
        <v>2</v>
      </c>
      <c r="AG39" s="5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</row>
    <row r="40" spans="1:63" x14ac:dyDescent="0.3">
      <c r="A40" t="s">
        <v>126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</row>
    <row r="41" spans="1:63" x14ac:dyDescent="0.3">
      <c r="A41" t="s">
        <v>127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2</v>
      </c>
      <c r="AR41">
        <v>2</v>
      </c>
      <c r="AS41">
        <v>2</v>
      </c>
      <c r="AT41">
        <v>2</v>
      </c>
      <c r="AU41">
        <v>3</v>
      </c>
      <c r="AV41">
        <v>3</v>
      </c>
      <c r="AW41">
        <v>3</v>
      </c>
      <c r="AX41">
        <v>3</v>
      </c>
      <c r="AY41">
        <v>2</v>
      </c>
      <c r="AZ41">
        <v>2</v>
      </c>
      <c r="BA41">
        <v>2</v>
      </c>
      <c r="BB41">
        <v>2</v>
      </c>
      <c r="BC41">
        <v>3</v>
      </c>
      <c r="BD41">
        <v>3</v>
      </c>
      <c r="BE41">
        <v>3</v>
      </c>
      <c r="BF41">
        <v>3</v>
      </c>
    </row>
    <row r="42" spans="1:63" x14ac:dyDescent="0.3"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AM42"/>
      <c r="AN42"/>
      <c r="AO42"/>
      <c r="AP42"/>
      <c r="AQ42"/>
      <c r="AR42"/>
      <c r="AX42" s="5"/>
      <c r="AY42" s="5"/>
      <c r="AZ42" s="5"/>
      <c r="BA42" s="5"/>
      <c r="BB42" s="5"/>
      <c r="BC42" s="5"/>
    </row>
    <row r="43" spans="1:63" x14ac:dyDescent="0.3"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AM43"/>
      <c r="AN43"/>
      <c r="AO43"/>
      <c r="AP43"/>
      <c r="AQ43"/>
      <c r="AR43"/>
      <c r="AX43" s="5"/>
      <c r="AY43" s="5"/>
      <c r="AZ43" s="5"/>
      <c r="BA43" s="5"/>
      <c r="BB43" s="5"/>
      <c r="BC43" s="5"/>
    </row>
    <row r="44" spans="1:63" x14ac:dyDescent="0.3"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AM44"/>
      <c r="AN44"/>
      <c r="AO44"/>
      <c r="AP44"/>
      <c r="AQ44"/>
      <c r="AR44"/>
      <c r="AX44" s="5"/>
      <c r="AY44" s="5"/>
      <c r="AZ44" s="5"/>
      <c r="BA44" s="5"/>
      <c r="BB44" s="5"/>
      <c r="BC44" s="5"/>
    </row>
    <row r="47" spans="1:63" x14ac:dyDescent="0.3">
      <c r="A47" t="s">
        <v>111</v>
      </c>
      <c r="C47" t="e">
        <f>HLOOKUP(SIMUL!$B$6,Loonschalen!$B$35:$BF$36,2,FALSE)</f>
        <v>#N/A</v>
      </c>
      <c r="D47" t="e">
        <f>HLOOKUP(SIMUL!$B$6,Loonschalen!$B$35:$BF$37,3,FALSE)</f>
        <v>#N/A</v>
      </c>
      <c r="E47" t="e">
        <f>HLOOKUP(SIMUL!$B$6,Loonschalen!$B$35:$BF$38,4,FALSE)</f>
        <v>#N/A</v>
      </c>
      <c r="F47" t="e">
        <f>HLOOKUP(SIMUL!$B$6,Loonschalen!$B$35:$BF$39,5,FALSE)</f>
        <v>#N/A</v>
      </c>
      <c r="G47" t="e">
        <f>HLOOKUP(SIMUL!$B$6,Loonschalen!$B$35:$BF$40,6,FALSE)</f>
        <v>#N/A</v>
      </c>
      <c r="H47" t="e">
        <f>HLOOKUP(SIMUL!$B$6,Loonschalen!$B$35:$BF$41,7,FALSE)</f>
        <v>#N/A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AM47"/>
      <c r="AN47"/>
      <c r="AO47"/>
      <c r="AP47"/>
      <c r="AQ47"/>
      <c r="AR47"/>
      <c r="AX47" s="5"/>
      <c r="AY47" s="5"/>
      <c r="AZ47" s="5"/>
      <c r="BA47" s="5"/>
      <c r="BB47" s="5"/>
      <c r="BC47" s="5"/>
    </row>
    <row r="48" spans="1:63" x14ac:dyDescent="0.3">
      <c r="A48" t="s">
        <v>112</v>
      </c>
      <c r="C48" t="e">
        <f>HLOOKUP(SIMUL!#REF!,Loonschalen!$A$35:$BF$36,2,FALSE)</f>
        <v>#REF!</v>
      </c>
      <c r="D48" t="e">
        <f>HLOOKUP(SIMUL!#REF!,Loonschalen!$A$35:$BF$37,3,FALSE)</f>
        <v>#REF!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AM48"/>
      <c r="AN48"/>
      <c r="AO48"/>
      <c r="AP48"/>
      <c r="AQ48"/>
      <c r="AR48"/>
      <c r="AX48" s="5"/>
      <c r="AY48" s="5"/>
      <c r="AZ48" s="5"/>
      <c r="BA48" s="5"/>
      <c r="BB48" s="5"/>
      <c r="BC48" s="5"/>
    </row>
    <row r="49" spans="3:55" x14ac:dyDescent="0.3">
      <c r="C49" t="e">
        <f>C48-C47</f>
        <v>#REF!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AM49"/>
      <c r="AN49"/>
      <c r="AO49"/>
      <c r="AP49"/>
      <c r="AQ49"/>
      <c r="AR49"/>
      <c r="AX49" s="5"/>
      <c r="AY49" s="5"/>
      <c r="AZ49" s="5"/>
      <c r="BA49" s="5"/>
      <c r="BB49" s="5"/>
      <c r="BC49" s="5"/>
    </row>
  </sheetData>
  <sheetProtection algorithmName="SHA-512" hashValue="89QGr+ESU8o9KgCVHSXy9ssAWTy3a+r5rd1Jxotl7WfMGeNwZUFsZqEvteXFkKIXCNylQcJjhkUIbmz9KIW8oA==" saltValue="s++6/6AgoEDzwyhjP8fFwA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B19" sqref="B19"/>
    </sheetView>
  </sheetViews>
  <sheetFormatPr defaultRowHeight="14.4" x14ac:dyDescent="0.3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 x14ac:dyDescent="0.35">
      <c r="A1" s="303" t="s">
        <v>340</v>
      </c>
      <c r="B1" s="304"/>
      <c r="C1" s="305"/>
      <c r="D1" s="305"/>
      <c r="E1" s="306"/>
      <c r="I1" s="307" t="s">
        <v>144</v>
      </c>
      <c r="J1" s="308"/>
      <c r="K1" s="308"/>
      <c r="L1" s="308"/>
      <c r="M1" s="308"/>
      <c r="N1" s="309"/>
      <c r="T1" s="294" t="s">
        <v>337</v>
      </c>
      <c r="U1" s="295"/>
      <c r="V1" s="295"/>
      <c r="W1" s="296"/>
      <c r="X1" s="120"/>
      <c r="Y1" s="120"/>
    </row>
    <row r="2" spans="1:27" ht="15" thickBot="1" x14ac:dyDescent="0.35">
      <c r="A2" s="297"/>
      <c r="B2" s="298"/>
      <c r="C2" s="298"/>
      <c r="D2" s="298"/>
      <c r="E2" s="299"/>
      <c r="I2" s="308"/>
      <c r="J2" s="308"/>
      <c r="K2" s="308"/>
      <c r="L2" s="308"/>
      <c r="M2" s="308"/>
      <c r="N2" s="309"/>
      <c r="T2" s="297"/>
      <c r="U2" s="298"/>
      <c r="V2" s="298"/>
      <c r="W2" s="299"/>
    </row>
    <row r="3" spans="1:27" ht="15" thickBot="1" x14ac:dyDescent="0.35">
      <c r="A3" s="288" t="s">
        <v>145</v>
      </c>
      <c r="B3" s="289"/>
      <c r="C3" s="67" t="e">
        <f>'SIMUL SSGPI'!B3</f>
        <v>#N/A</v>
      </c>
      <c r="D3" s="5"/>
      <c r="E3" s="5"/>
      <c r="I3" s="310" t="s">
        <v>146</v>
      </c>
      <c r="J3" s="312" t="s">
        <v>147</v>
      </c>
      <c r="K3" s="312" t="s">
        <v>148</v>
      </c>
      <c r="L3" s="310" t="s">
        <v>149</v>
      </c>
      <c r="M3" s="310" t="s">
        <v>150</v>
      </c>
      <c r="N3" s="313" t="s">
        <v>151</v>
      </c>
      <c r="T3" s="121" t="s">
        <v>145</v>
      </c>
      <c r="U3" s="122" t="e">
        <f>C3</f>
        <v>#N/A</v>
      </c>
      <c r="V3" s="123" t="s">
        <v>178</v>
      </c>
      <c r="W3" s="124" t="e">
        <f>IF(Loonschalen!C47=7,"d","")</f>
        <v>#N/A</v>
      </c>
    </row>
    <row r="4" spans="1:27" ht="15" thickBot="1" x14ac:dyDescent="0.35">
      <c r="A4" s="290" t="s">
        <v>40</v>
      </c>
      <c r="B4" s="291"/>
      <c r="C4" s="70">
        <f>'SIMUL SSGPI'!B5</f>
        <v>0</v>
      </c>
      <c r="D4" s="5" t="e">
        <f>C4*C3/12</f>
        <v>#N/A</v>
      </c>
      <c r="E4" s="5"/>
      <c r="I4" s="311"/>
      <c r="J4" s="311"/>
      <c r="K4" s="311"/>
      <c r="L4" s="311"/>
      <c r="M4" s="311"/>
      <c r="N4" s="314"/>
      <c r="T4" s="125" t="s">
        <v>40</v>
      </c>
      <c r="U4" s="126">
        <f>C4</f>
        <v>0</v>
      </c>
      <c r="V4" s="5" t="e">
        <f ca="1">U4*U3*0.025*U14</f>
        <v>#N/A</v>
      </c>
      <c r="W4" s="5"/>
    </row>
    <row r="5" spans="1:27" ht="15" thickBot="1" x14ac:dyDescent="0.35">
      <c r="A5" s="292" t="s">
        <v>176</v>
      </c>
      <c r="B5" s="293"/>
      <c r="C5" s="72">
        <f>'SIMUL SSGPI'!B15</f>
        <v>0</v>
      </c>
      <c r="D5" s="5" t="e">
        <f>C5*C3/12</f>
        <v>#N/A</v>
      </c>
      <c r="E5" s="5"/>
      <c r="I5" s="311"/>
      <c r="J5" s="311"/>
      <c r="K5" s="311"/>
      <c r="L5" s="311"/>
      <c r="M5" s="311"/>
      <c r="N5" s="314"/>
      <c r="T5" s="125" t="s">
        <v>179</v>
      </c>
      <c r="U5" s="127">
        <f>C5</f>
        <v>0</v>
      </c>
      <c r="V5" s="5" t="e">
        <f ca="1">AH5*U3*0.025*U14</f>
        <v>#N/A</v>
      </c>
      <c r="W5" s="5"/>
    </row>
    <row r="6" spans="1:27" ht="15" thickBot="1" x14ac:dyDescent="0.35">
      <c r="A6" s="68" t="s">
        <v>152</v>
      </c>
      <c r="B6" s="73"/>
      <c r="C6" s="70">
        <f>'SIMUL SSGPI'!B6</f>
        <v>0</v>
      </c>
      <c r="D6" s="5" t="e">
        <f>C6*C3/12</f>
        <v>#N/A</v>
      </c>
      <c r="E6" s="5"/>
      <c r="I6" s="74" t="s">
        <v>153</v>
      </c>
      <c r="J6" s="75">
        <v>1</v>
      </c>
      <c r="K6" s="76">
        <v>0</v>
      </c>
      <c r="L6" s="76">
        <v>38</v>
      </c>
      <c r="M6" s="77">
        <f>(J6/(J6+K6))*L6/38</f>
        <v>1</v>
      </c>
      <c r="N6" s="78">
        <f t="shared" ref="N6:N21" si="0">M6/12</f>
        <v>8.3333333333333329E-2</v>
      </c>
      <c r="T6" s="128" t="s">
        <v>180</v>
      </c>
      <c r="U6" s="126">
        <f>C6</f>
        <v>0</v>
      </c>
      <c r="V6" s="5" t="e">
        <f ca="1">U6*U3*0.025*U14</f>
        <v>#N/A</v>
      </c>
      <c r="W6" s="5"/>
    </row>
    <row r="7" spans="1:27" ht="15.6" thickTop="1" thickBot="1" x14ac:dyDescent="0.35">
      <c r="A7" s="68"/>
      <c r="B7" s="79"/>
      <c r="C7" s="72"/>
      <c r="D7" s="5" t="e">
        <f>C7*C3/12</f>
        <v>#N/A</v>
      </c>
      <c r="E7" s="80"/>
      <c r="F7" s="81"/>
      <c r="G7" s="82"/>
      <c r="I7" s="74" t="s">
        <v>154</v>
      </c>
      <c r="J7" s="83">
        <v>1</v>
      </c>
      <c r="K7" s="84">
        <v>0</v>
      </c>
      <c r="L7" s="84">
        <f t="shared" ref="L7:L14" si="1">L6</f>
        <v>38</v>
      </c>
      <c r="M7" s="85">
        <f t="shared" ref="M7:M21" si="2">(J7/(J7+K7))*L7/38</f>
        <v>1</v>
      </c>
      <c r="N7" s="86">
        <f t="shared" si="0"/>
        <v>8.3333333333333329E-2</v>
      </c>
      <c r="T7" s="125" t="s">
        <v>181</v>
      </c>
      <c r="U7" s="72">
        <f>ROUND(AF58,2)</f>
        <v>416.49</v>
      </c>
      <c r="V7" s="5" t="e">
        <f ca="1">U7*U14</f>
        <v>#N/A</v>
      </c>
      <c r="W7" s="129" t="e">
        <f ca="1">V4+V5+V6+V7</f>
        <v>#N/A</v>
      </c>
      <c r="X7" s="332" t="s">
        <v>182</v>
      </c>
      <c r="Y7" s="322" t="e">
        <f ca="1">W8+W7</f>
        <v>#N/A</v>
      </c>
    </row>
    <row r="8" spans="1:27" ht="15" thickBot="1" x14ac:dyDescent="0.35">
      <c r="A8" s="87"/>
      <c r="B8" s="69"/>
      <c r="C8" s="70"/>
      <c r="D8" s="5">
        <f>C8/12</f>
        <v>0</v>
      </c>
      <c r="E8" s="80"/>
      <c r="F8" s="45"/>
      <c r="G8" s="88"/>
      <c r="I8" s="74" t="s">
        <v>155</v>
      </c>
      <c r="J8" s="83">
        <v>1</v>
      </c>
      <c r="K8" s="84">
        <v>0</v>
      </c>
      <c r="L8" s="84">
        <f t="shared" si="1"/>
        <v>38</v>
      </c>
      <c r="M8" s="85">
        <f t="shared" si="2"/>
        <v>1</v>
      </c>
      <c r="N8" s="86">
        <f t="shared" si="0"/>
        <v>8.3333333333333329E-2</v>
      </c>
      <c r="T8" s="130"/>
      <c r="U8" s="72">
        <f>ROUND(AG58,2)</f>
        <v>470.28</v>
      </c>
      <c r="V8" s="5"/>
      <c r="W8" s="131" t="e">
        <f ca="1">U8*U14</f>
        <v>#N/A</v>
      </c>
      <c r="X8" s="333"/>
      <c r="Y8" s="323"/>
      <c r="AA8">
        <f>1.02*1.02*1.02*1.02*1.02*1.02*1.02*1.02*1.02*1.02*1.02</f>
        <v>1.2433743083946525</v>
      </c>
    </row>
    <row r="9" spans="1:27" ht="15" thickBot="1" x14ac:dyDescent="0.35">
      <c r="A9" s="71" t="s">
        <v>156</v>
      </c>
      <c r="B9" s="69"/>
      <c r="C9" s="89" t="e">
        <f ca="1">breuk*'SIMUL SSGPI'!B8/'SIMUL SSGPI'!B9</f>
        <v>#N/A</v>
      </c>
      <c r="I9" s="74" t="s">
        <v>157</v>
      </c>
      <c r="J9" s="83">
        <v>1</v>
      </c>
      <c r="K9" s="84">
        <v>0</v>
      </c>
      <c r="L9" s="84">
        <f t="shared" si="1"/>
        <v>38</v>
      </c>
      <c r="M9" s="85">
        <f t="shared" si="2"/>
        <v>1</v>
      </c>
      <c r="N9" s="86">
        <f t="shared" si="0"/>
        <v>8.3333333333333329E-2</v>
      </c>
      <c r="T9" s="324" t="s">
        <v>183</v>
      </c>
      <c r="U9" s="325"/>
      <c r="V9" s="325"/>
      <c r="W9" s="326"/>
      <c r="AA9" s="58" t="e">
        <f>C3</f>
        <v>#N/A</v>
      </c>
    </row>
    <row r="10" spans="1:27" ht="15" thickBot="1" x14ac:dyDescent="0.35">
      <c r="A10" s="90"/>
      <c r="C10" s="5"/>
      <c r="D10" s="91"/>
      <c r="E10" s="5"/>
      <c r="I10" s="74" t="s">
        <v>158</v>
      </c>
      <c r="J10" s="83">
        <v>1</v>
      </c>
      <c r="K10" s="84">
        <v>0</v>
      </c>
      <c r="L10" s="84">
        <f t="shared" si="1"/>
        <v>38</v>
      </c>
      <c r="M10" s="85">
        <f t="shared" si="2"/>
        <v>1</v>
      </c>
      <c r="N10" s="86">
        <f t="shared" si="0"/>
        <v>8.3333333333333329E-2</v>
      </c>
      <c r="T10" s="132" t="s">
        <v>184</v>
      </c>
      <c r="U10" s="72" t="e">
        <f>(U4+AH5+U6)*U3/12*0.07</f>
        <v>#N/A</v>
      </c>
      <c r="V10" s="327" t="s">
        <v>185</v>
      </c>
      <c r="W10" s="5"/>
      <c r="AA10">
        <f>100/1.2936</f>
        <v>77.303648732220154</v>
      </c>
    </row>
    <row r="11" spans="1:27" ht="15" thickBot="1" x14ac:dyDescent="0.35">
      <c r="A11" s="300" t="s">
        <v>159</v>
      </c>
      <c r="B11" s="301"/>
      <c r="C11" s="302" t="e">
        <f ca="1">ROUND(((D4+D5+D6)*C9+D8)*0.92,2)</f>
        <v>#N/A</v>
      </c>
      <c r="D11" s="302"/>
      <c r="E11" s="302"/>
      <c r="I11" s="74" t="s">
        <v>160</v>
      </c>
      <c r="J11" s="83">
        <v>1</v>
      </c>
      <c r="K11" s="84">
        <v>0</v>
      </c>
      <c r="L11" s="84">
        <f t="shared" si="1"/>
        <v>38</v>
      </c>
      <c r="M11" s="85">
        <f t="shared" si="2"/>
        <v>1</v>
      </c>
      <c r="N11" s="86">
        <f t="shared" si="0"/>
        <v>8.3333333333333329E-2</v>
      </c>
      <c r="T11" s="133" t="s">
        <v>186</v>
      </c>
      <c r="U11" s="72" t="e">
        <f>V26*U3</f>
        <v>#N/A</v>
      </c>
      <c r="V11" s="328"/>
      <c r="W11" s="134" t="e">
        <f>IF(U10&lt;U11,U11,(IF(U10&gt;U12,U12,U10)))</f>
        <v>#N/A</v>
      </c>
      <c r="AA11" t="e">
        <f>AA10*AA9</f>
        <v>#N/A</v>
      </c>
    </row>
    <row r="12" spans="1:27" ht="15" thickBot="1" x14ac:dyDescent="0.35">
      <c r="A12" s="92"/>
      <c r="C12" s="302"/>
      <c r="D12" s="302"/>
      <c r="E12" s="302"/>
      <c r="I12" s="74" t="s">
        <v>161</v>
      </c>
      <c r="J12" s="83">
        <v>1</v>
      </c>
      <c r="K12" s="84">
        <v>0</v>
      </c>
      <c r="L12" s="84">
        <f t="shared" si="1"/>
        <v>38</v>
      </c>
      <c r="M12" s="85">
        <f t="shared" si="2"/>
        <v>1</v>
      </c>
      <c r="N12" s="86">
        <f t="shared" si="0"/>
        <v>8.3333333333333329E-2</v>
      </c>
      <c r="T12" s="133" t="s">
        <v>115</v>
      </c>
      <c r="U12" s="72" t="e">
        <f>V27*U3</f>
        <v>#N/A</v>
      </c>
      <c r="V12" s="328"/>
      <c r="W12" s="129" t="e">
        <f ca="1">W11*U14</f>
        <v>#N/A</v>
      </c>
    </row>
    <row r="13" spans="1:27" ht="15" thickBot="1" x14ac:dyDescent="0.35">
      <c r="A13" s="92"/>
      <c r="C13" s="5"/>
      <c r="D13" s="5"/>
      <c r="E13" s="80"/>
      <c r="I13" s="93" t="s">
        <v>162</v>
      </c>
      <c r="J13" s="94">
        <v>1</v>
      </c>
      <c r="K13" s="95">
        <v>0</v>
      </c>
      <c r="L13" s="84">
        <f t="shared" si="1"/>
        <v>38</v>
      </c>
      <c r="M13" s="96">
        <f t="shared" si="2"/>
        <v>1</v>
      </c>
      <c r="N13" s="97">
        <f t="shared" si="0"/>
        <v>8.3333333333333329E-2</v>
      </c>
      <c r="T13" s="125" t="s">
        <v>187</v>
      </c>
      <c r="U13" s="72" t="e">
        <f ca="1">IF(U14&gt;0.5,AA13,IF(U14=0,0,AA13/2))</f>
        <v>#N/A</v>
      </c>
      <c r="V13" s="5"/>
      <c r="W13" s="5"/>
      <c r="Y13" s="5"/>
      <c r="AA13" s="143" t="e">
        <f>IF(W3="d",AA10*U3,0)</f>
        <v>#N/A</v>
      </c>
    </row>
    <row r="14" spans="1:27" ht="15" thickBot="1" x14ac:dyDescent="0.35">
      <c r="A14" s="300" t="s">
        <v>163</v>
      </c>
      <c r="B14" s="301"/>
      <c r="C14" s="334" t="e">
        <f ca="1">ROUND(C11-C11*0.1307,2)</f>
        <v>#N/A</v>
      </c>
      <c r="D14" s="334"/>
      <c r="E14" s="334"/>
      <c r="I14" s="74" t="s">
        <v>164</v>
      </c>
      <c r="J14" s="99">
        <v>1</v>
      </c>
      <c r="K14" s="84">
        <v>0</v>
      </c>
      <c r="L14" s="84">
        <f t="shared" si="1"/>
        <v>38</v>
      </c>
      <c r="M14" s="85">
        <f t="shared" si="2"/>
        <v>1</v>
      </c>
      <c r="N14" s="86">
        <f t="shared" si="0"/>
        <v>8.3333333333333329E-2</v>
      </c>
      <c r="T14" s="121" t="s">
        <v>156</v>
      </c>
      <c r="U14" s="89" t="e">
        <f ca="1">C9</f>
        <v>#N/A</v>
      </c>
      <c r="V14" s="5"/>
      <c r="W14" s="5"/>
    </row>
    <row r="15" spans="1:27" ht="15" thickBot="1" x14ac:dyDescent="0.35">
      <c r="A15" s="100" t="s">
        <v>165</v>
      </c>
      <c r="B15" s="67" t="e">
        <f>C3</f>
        <v>#N/A</v>
      </c>
      <c r="C15" s="334"/>
      <c r="D15" s="334"/>
      <c r="E15" s="334"/>
      <c r="I15" s="74" t="s">
        <v>166</v>
      </c>
      <c r="J15" s="99">
        <v>1</v>
      </c>
      <c r="K15" s="84">
        <v>0</v>
      </c>
      <c r="L15" s="84">
        <f>L14</f>
        <v>38</v>
      </c>
      <c r="M15" s="85">
        <f t="shared" si="2"/>
        <v>1</v>
      </c>
      <c r="N15" s="86">
        <f t="shared" si="0"/>
        <v>8.3333333333333329E-2</v>
      </c>
      <c r="T15" s="135"/>
      <c r="U15" s="5"/>
      <c r="V15" s="9"/>
      <c r="W15" s="5"/>
    </row>
    <row r="16" spans="1:27" ht="15" thickBot="1" x14ac:dyDescent="0.35">
      <c r="A16" s="92"/>
      <c r="B16" s="66" t="s">
        <v>167</v>
      </c>
      <c r="C16" s="98"/>
      <c r="D16" s="98"/>
      <c r="E16" s="98"/>
      <c r="I16" s="74" t="s">
        <v>168</v>
      </c>
      <c r="J16" s="99">
        <v>1</v>
      </c>
      <c r="K16" s="84">
        <v>0</v>
      </c>
      <c r="L16" s="84">
        <f>L15</f>
        <v>38</v>
      </c>
      <c r="M16" s="85">
        <f t="shared" si="2"/>
        <v>1</v>
      </c>
      <c r="N16" s="86">
        <f t="shared" si="0"/>
        <v>8.3333333333333329E-2</v>
      </c>
      <c r="T16" s="136" t="s">
        <v>188</v>
      </c>
      <c r="U16" s="5"/>
      <c r="V16" s="137" t="s">
        <v>182</v>
      </c>
      <c r="W16" s="129" t="e">
        <f ca="1">W7+W8+W12+U13</f>
        <v>#N/A</v>
      </c>
    </row>
    <row r="17" spans="1:25" ht="15" thickBot="1" x14ac:dyDescent="0.35">
      <c r="A17" s="101" t="s">
        <v>169</v>
      </c>
      <c r="B17" s="102" t="e">
        <f ca="1">B44</f>
        <v>#N/A</v>
      </c>
      <c r="C17" s="335" t="e">
        <f ca="1">ROUND(C14*B17,2)</f>
        <v>#N/A</v>
      </c>
      <c r="D17" s="334"/>
      <c r="E17" s="334"/>
      <c r="I17" s="74" t="s">
        <v>170</v>
      </c>
      <c r="J17" s="99">
        <v>1</v>
      </c>
      <c r="K17" s="84">
        <v>0</v>
      </c>
      <c r="L17" s="84">
        <f>L16</f>
        <v>38</v>
      </c>
      <c r="M17" s="85">
        <f t="shared" si="2"/>
        <v>1</v>
      </c>
      <c r="N17" s="86">
        <f t="shared" si="0"/>
        <v>8.3333333333333329E-2</v>
      </c>
      <c r="T17" s="101" t="s">
        <v>189</v>
      </c>
      <c r="U17" s="21" t="e">
        <f ca="1">0.0355*(W8+W12+U13)</f>
        <v>#N/A</v>
      </c>
      <c r="V17" s="138" t="s">
        <v>190</v>
      </c>
      <c r="W17" s="21" t="e">
        <f ca="1">W16*0.1307</f>
        <v>#N/A</v>
      </c>
    </row>
    <row r="18" spans="1:25" ht="15" thickBot="1" x14ac:dyDescent="0.35">
      <c r="A18" s="92"/>
      <c r="C18" s="98"/>
      <c r="D18" s="98"/>
      <c r="E18" s="98"/>
      <c r="I18" s="103" t="s">
        <v>171</v>
      </c>
      <c r="J18" s="99">
        <v>0</v>
      </c>
      <c r="K18" s="84">
        <v>1</v>
      </c>
      <c r="L18" s="84">
        <v>0</v>
      </c>
      <c r="M18" s="85">
        <f t="shared" si="2"/>
        <v>0</v>
      </c>
      <c r="N18" s="86">
        <f t="shared" si="0"/>
        <v>0</v>
      </c>
      <c r="T18" s="101" t="s">
        <v>191</v>
      </c>
      <c r="U18" s="21" t="e">
        <f ca="1">0.011*(W8+W12+U13)</f>
        <v>#N/A</v>
      </c>
      <c r="V18" s="138" t="s">
        <v>192</v>
      </c>
      <c r="W18" s="21" t="e">
        <f ca="1">W16*0.011</f>
        <v>#N/A</v>
      </c>
    </row>
    <row r="19" spans="1:25" ht="15" thickBot="1" x14ac:dyDescent="0.35">
      <c r="A19" s="92"/>
      <c r="C19" s="98"/>
      <c r="D19" s="98"/>
      <c r="E19" s="98"/>
      <c r="I19" s="103" t="s">
        <v>171</v>
      </c>
      <c r="J19" s="99">
        <v>0</v>
      </c>
      <c r="K19" s="84">
        <v>1</v>
      </c>
      <c r="L19" s="84">
        <v>0</v>
      </c>
      <c r="M19" s="85">
        <f t="shared" si="2"/>
        <v>0</v>
      </c>
      <c r="N19" s="86">
        <f t="shared" si="0"/>
        <v>0</v>
      </c>
      <c r="T19" s="101" t="s">
        <v>193</v>
      </c>
      <c r="U19" s="21" t="e">
        <f ca="1">(W16-U17)*U57</f>
        <v>#N/A</v>
      </c>
      <c r="V19" s="138" t="s">
        <v>194</v>
      </c>
      <c r="W19" s="21" t="e">
        <f ca="1">(W16-W17)*U57</f>
        <v>#N/A</v>
      </c>
    </row>
    <row r="20" spans="1:25" ht="15.6" thickTop="1" thickBot="1" x14ac:dyDescent="0.35">
      <c r="A20" s="300" t="s">
        <v>172</v>
      </c>
      <c r="B20" s="315"/>
      <c r="C20" s="316" t="e">
        <f ca="1">C14-C17</f>
        <v>#N/A</v>
      </c>
      <c r="D20" s="317"/>
      <c r="E20" s="318"/>
      <c r="I20" s="103" t="s">
        <v>171</v>
      </c>
      <c r="J20" s="99">
        <v>0</v>
      </c>
      <c r="K20" s="84">
        <v>1</v>
      </c>
      <c r="L20" s="84">
        <v>0</v>
      </c>
      <c r="M20" s="85">
        <f t="shared" si="2"/>
        <v>0</v>
      </c>
      <c r="N20" s="86">
        <f t="shared" si="0"/>
        <v>0</v>
      </c>
      <c r="T20" s="139" t="s">
        <v>195</v>
      </c>
      <c r="U20" s="140" t="e">
        <f ca="1">ROUND(W16-U17-U18-U19,2)</f>
        <v>#N/A</v>
      </c>
      <c r="V20" s="141" t="s">
        <v>196</v>
      </c>
      <c r="W20" s="140" t="e">
        <f ca="1">ROUND(W16-W17-W18-W19,2)</f>
        <v>#N/A</v>
      </c>
      <c r="X20" s="112"/>
      <c r="Y20" s="112"/>
    </row>
    <row r="21" spans="1:25" ht="15" thickBot="1" x14ac:dyDescent="0.35">
      <c r="A21" s="92"/>
      <c r="C21" s="319"/>
      <c r="D21" s="320"/>
      <c r="E21" s="321"/>
      <c r="I21" s="104" t="s">
        <v>171</v>
      </c>
      <c r="J21" s="105">
        <v>0</v>
      </c>
      <c r="K21" s="95">
        <v>1</v>
      </c>
      <c r="L21" s="95">
        <v>0</v>
      </c>
      <c r="M21" s="85">
        <f t="shared" si="2"/>
        <v>0</v>
      </c>
      <c r="N21" s="86">
        <f t="shared" si="0"/>
        <v>0</v>
      </c>
      <c r="U21" s="5"/>
      <c r="V21" s="5"/>
      <c r="W21" s="5"/>
    </row>
    <row r="22" spans="1:25" ht="15.6" thickTop="1" thickBot="1" x14ac:dyDescent="0.35">
      <c r="A22" s="92"/>
      <c r="C22" s="5"/>
      <c r="D22" s="5"/>
      <c r="E22" s="5"/>
      <c r="I22" s="336" t="s">
        <v>173</v>
      </c>
      <c r="J22" s="336"/>
      <c r="K22" s="336"/>
      <c r="L22" s="336"/>
      <c r="M22" s="336"/>
      <c r="N22" s="106">
        <f>SUM(N6:N21)</f>
        <v>1</v>
      </c>
      <c r="T22" s="12" t="s">
        <v>61</v>
      </c>
      <c r="U22" s="12"/>
      <c r="V22" s="13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 x14ac:dyDescent="0.35">
      <c r="A23" s="92"/>
      <c r="C23" s="5"/>
      <c r="D23" s="5"/>
      <c r="E23" s="5"/>
      <c r="I23" s="48"/>
      <c r="J23" s="48"/>
      <c r="K23" s="48"/>
      <c r="L23" s="48"/>
      <c r="M23" s="48"/>
      <c r="N23" s="107"/>
      <c r="T23" s="12" t="s">
        <v>62</v>
      </c>
      <c r="U23" s="12"/>
      <c r="V23" s="13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 x14ac:dyDescent="0.35">
      <c r="A24" s="92"/>
      <c r="C24" s="5"/>
      <c r="D24" s="5"/>
      <c r="E24" s="5"/>
      <c r="I24" s="108" t="s">
        <v>146</v>
      </c>
      <c r="J24" s="109" t="s">
        <v>147</v>
      </c>
      <c r="K24" s="109" t="s">
        <v>148</v>
      </c>
      <c r="L24" s="108" t="s">
        <v>174</v>
      </c>
      <c r="M24" s="108" t="s">
        <v>150</v>
      </c>
      <c r="N24" s="110" t="s">
        <v>40</v>
      </c>
      <c r="U24" s="5"/>
      <c r="V24" s="5"/>
      <c r="W24" s="5"/>
    </row>
    <row r="25" spans="1:25" ht="15" thickBot="1" x14ac:dyDescent="0.35">
      <c r="A25" s="111"/>
      <c r="B25" s="112"/>
      <c r="C25" s="113"/>
      <c r="D25" s="113"/>
      <c r="E25" s="113"/>
      <c r="F25" s="112"/>
      <c r="G25" s="112"/>
      <c r="H25" s="112"/>
      <c r="I25" s="114" t="s">
        <v>175</v>
      </c>
      <c r="J25" s="115">
        <v>1</v>
      </c>
      <c r="K25" s="116">
        <v>0</v>
      </c>
      <c r="L25" s="116">
        <f>L17</f>
        <v>38</v>
      </c>
      <c r="M25" s="117">
        <f>(J25/(J25+K25))*L25/38</f>
        <v>1</v>
      </c>
      <c r="N25" s="118">
        <f>C4</f>
        <v>0</v>
      </c>
      <c r="T25" t="s">
        <v>197</v>
      </c>
      <c r="U25" s="5"/>
      <c r="V25" s="5"/>
      <c r="W25" s="5"/>
    </row>
    <row r="26" spans="1:25" ht="15" thickTop="1" x14ac:dyDescent="0.3">
      <c r="T26" t="s">
        <v>198</v>
      </c>
      <c r="U26" s="5"/>
      <c r="V26" s="5">
        <v>100.95</v>
      </c>
      <c r="W26" s="5"/>
    </row>
    <row r="27" spans="1:25" x14ac:dyDescent="0.3">
      <c r="T27" t="s">
        <v>199</v>
      </c>
      <c r="U27" s="142"/>
      <c r="V27" s="5">
        <v>201.9</v>
      </c>
      <c r="W27" s="5"/>
    </row>
    <row r="28" spans="1:25" x14ac:dyDescent="0.3">
      <c r="U28" s="5"/>
      <c r="V28" s="5"/>
      <c r="W28" s="5"/>
    </row>
    <row r="29" spans="1:25" ht="15" thickBot="1" x14ac:dyDescent="0.35">
      <c r="A29" s="119" t="s">
        <v>169</v>
      </c>
      <c r="B29" s="5"/>
      <c r="T29" s="329" t="s">
        <v>200</v>
      </c>
      <c r="U29" s="330"/>
      <c r="V29" s="330"/>
      <c r="W29" s="330"/>
    </row>
    <row r="30" spans="1:25" ht="15" thickTop="1" x14ac:dyDescent="0.3">
      <c r="A30" s="5">
        <v>0</v>
      </c>
      <c r="B30" s="58">
        <v>0</v>
      </c>
      <c r="U30" s="5"/>
      <c r="V30" s="5"/>
      <c r="W30" s="5"/>
    </row>
    <row r="31" spans="1:25" x14ac:dyDescent="0.3">
      <c r="A31" s="5">
        <f>ROUNDUP(9690.01/12,2)</f>
        <v>807.51</v>
      </c>
      <c r="B31" s="58">
        <v>0.19170000000000001</v>
      </c>
      <c r="T31" t="s">
        <v>201</v>
      </c>
      <c r="U31" s="5"/>
      <c r="V31" s="5"/>
      <c r="W31" s="5"/>
    </row>
    <row r="32" spans="1:25" x14ac:dyDescent="0.3">
      <c r="A32" s="5">
        <f>ROUNDUP(12400.01/12,2)</f>
        <v>1033.3399999999999</v>
      </c>
      <c r="B32" s="58">
        <v>0.21199999999999999</v>
      </c>
      <c r="T32" t="s">
        <v>202</v>
      </c>
      <c r="U32" s="5"/>
      <c r="V32" s="5"/>
      <c r="W32" s="5"/>
    </row>
    <row r="33" spans="1:33" x14ac:dyDescent="0.3">
      <c r="A33" s="5">
        <f>ROUNDUP(15775.01/12,2)</f>
        <v>1314.59</v>
      </c>
      <c r="B33" s="58">
        <v>0.26250000000000001</v>
      </c>
      <c r="T33" t="s">
        <v>203</v>
      </c>
      <c r="U33" s="5"/>
      <c r="V33" s="5"/>
      <c r="W33" s="5"/>
    </row>
    <row r="34" spans="1:33" x14ac:dyDescent="0.3">
      <c r="A34" s="5">
        <f>ROUNDUP(18910.01/12,2)</f>
        <v>1575.84</v>
      </c>
      <c r="B34" s="58">
        <v>0.313</v>
      </c>
      <c r="T34" t="s">
        <v>204</v>
      </c>
      <c r="U34" s="5"/>
      <c r="V34" s="5"/>
      <c r="W34" s="5"/>
    </row>
    <row r="35" spans="1:33" x14ac:dyDescent="0.3">
      <c r="A35" s="5">
        <f>ROUNDUP(21400.01/12,2)</f>
        <v>1783.34</v>
      </c>
      <c r="B35" s="58">
        <v>0.34329999999999999</v>
      </c>
      <c r="T35" t="s">
        <v>205</v>
      </c>
      <c r="U35" s="5"/>
      <c r="V35" s="5"/>
      <c r="W35" s="5"/>
    </row>
    <row r="36" spans="1:33" x14ac:dyDescent="0.3">
      <c r="A36" s="5">
        <f>ROUNDUP(23910.01/12,2)</f>
        <v>1992.51</v>
      </c>
      <c r="B36" s="58">
        <v>0.3634</v>
      </c>
      <c r="U36" s="5"/>
      <c r="V36" s="5"/>
      <c r="W36" s="5"/>
    </row>
    <row r="37" spans="1:33" x14ac:dyDescent="0.3">
      <c r="A37" s="5">
        <f>ROUNDUP(28900.01/12,2)</f>
        <v>2408.34</v>
      </c>
      <c r="B37" s="58">
        <v>0.39369999999999999</v>
      </c>
      <c r="T37" t="s">
        <v>206</v>
      </c>
      <c r="U37" s="5"/>
      <c r="V37" s="5"/>
      <c r="W37" s="5"/>
    </row>
    <row r="38" spans="1:33" x14ac:dyDescent="0.3">
      <c r="A38" s="5">
        <f>ROUNDUP(31440.01/12,2)</f>
        <v>2620.0100000000002</v>
      </c>
      <c r="B38" s="58">
        <v>0.4239</v>
      </c>
      <c r="T38" t="s">
        <v>207</v>
      </c>
      <c r="U38" s="5"/>
      <c r="V38" s="5"/>
      <c r="W38" s="5"/>
    </row>
    <row r="39" spans="1:33" x14ac:dyDescent="0.3">
      <c r="A39" s="5">
        <f>ROUNDUP(41630.01/12,2)</f>
        <v>3469.17</v>
      </c>
      <c r="B39" s="58">
        <v>0.47439999999999999</v>
      </c>
      <c r="U39" s="5"/>
      <c r="V39" s="5"/>
      <c r="W39" s="5"/>
    </row>
    <row r="40" spans="1:33" x14ac:dyDescent="0.3">
      <c r="A40" s="5">
        <f>ROUNDUP(54370.01/12,2)</f>
        <v>4530.84</v>
      </c>
      <c r="B40" s="58">
        <v>0.53500000000000003</v>
      </c>
      <c r="U40" s="5"/>
      <c r="V40" s="5"/>
      <c r="W40" s="5"/>
    </row>
    <row r="41" spans="1:33" x14ac:dyDescent="0.3">
      <c r="B41" s="5"/>
      <c r="T41" t="s">
        <v>208</v>
      </c>
      <c r="U41" s="5"/>
      <c r="V41" s="5"/>
      <c r="W41" s="5"/>
    </row>
    <row r="42" spans="1:33" x14ac:dyDescent="0.3">
      <c r="A42" t="s">
        <v>177</v>
      </c>
      <c r="B42" s="5"/>
      <c r="T42" s="5">
        <v>0</v>
      </c>
      <c r="U42" s="58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 x14ac:dyDescent="0.3">
      <c r="B43" s="5"/>
      <c r="T43" s="5">
        <v>737.09</v>
      </c>
      <c r="U43" s="58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 x14ac:dyDescent="0.3">
      <c r="A44" t="e">
        <f ca="1">'SIMUL SSGPI'!D31</f>
        <v>#N/A</v>
      </c>
      <c r="B44" s="58" t="e">
        <f ca="1">VLOOKUP(A44,A30:B40,2)</f>
        <v>#N/A</v>
      </c>
      <c r="T44" s="5">
        <v>944.18</v>
      </c>
      <c r="U44" s="58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 x14ac:dyDescent="0.3">
      <c r="T45" s="5">
        <v>1200.01</v>
      </c>
      <c r="U45" s="58">
        <v>0.30280000000000001</v>
      </c>
      <c r="V45" s="5"/>
      <c r="W45" s="5"/>
      <c r="AB45">
        <v>700.14089999999999</v>
      </c>
      <c r="AC45" s="58">
        <f>AC43+AC44</f>
        <v>706.67899066175016</v>
      </c>
      <c r="AD45" s="58">
        <v>707.38800000000003</v>
      </c>
      <c r="AE45">
        <v>710.42280000000005</v>
      </c>
      <c r="AF45">
        <v>718.32740000000001</v>
      </c>
    </row>
    <row r="46" spans="1:33" x14ac:dyDescent="0.3">
      <c r="T46" s="5">
        <v>1439.18</v>
      </c>
      <c r="U46" s="58">
        <v>0.3533</v>
      </c>
      <c r="V46" s="5"/>
      <c r="W46" s="5"/>
      <c r="AF46" s="331" t="s">
        <v>209</v>
      </c>
      <c r="AG46" s="331"/>
    </row>
    <row r="47" spans="1:33" x14ac:dyDescent="0.3">
      <c r="T47" s="5">
        <v>1629.18</v>
      </c>
      <c r="U47" s="58">
        <v>0.3836</v>
      </c>
      <c r="V47" s="5"/>
      <c r="W47" s="5"/>
      <c r="AA47">
        <v>2012</v>
      </c>
      <c r="AB47">
        <v>700.14089999999999</v>
      </c>
      <c r="AD47" s="60">
        <v>328.82339999999999</v>
      </c>
      <c r="AE47" s="60">
        <v>371.3175</v>
      </c>
    </row>
    <row r="48" spans="1:33" x14ac:dyDescent="0.3">
      <c r="T48" s="5">
        <v>1819.18</v>
      </c>
      <c r="U48" s="58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60">
        <v>331.89573020636271</v>
      </c>
      <c r="AE48" s="60">
        <v>374.78686979363721</v>
      </c>
    </row>
    <row r="49" spans="20:33" x14ac:dyDescent="0.3">
      <c r="T49" s="5">
        <v>2199.1799999999998</v>
      </c>
      <c r="U49" s="58">
        <v>0.43409999999999999</v>
      </c>
      <c r="V49" s="5"/>
      <c r="W49" s="5"/>
      <c r="AA49">
        <v>2014</v>
      </c>
      <c r="AB49" s="58">
        <v>707.38800000000003</v>
      </c>
      <c r="AC49">
        <v>1.0009981850409222</v>
      </c>
      <c r="AD49" s="60">
        <v>332.22702355940066</v>
      </c>
      <c r="AE49" s="60">
        <v>375.16097644059926</v>
      </c>
    </row>
    <row r="50" spans="20:33" x14ac:dyDescent="0.3">
      <c r="T50" s="5">
        <v>2392.5100000000002</v>
      </c>
      <c r="U50" s="58">
        <v>0.46439999999999998</v>
      </c>
      <c r="V50" s="5"/>
      <c r="W50" s="5"/>
      <c r="AA50">
        <v>2015</v>
      </c>
      <c r="AB50" s="58">
        <v>710.42280000000005</v>
      </c>
      <c r="AC50">
        <v>1.0042901491119443</v>
      </c>
      <c r="AD50" s="60">
        <v>333.65232702948794</v>
      </c>
      <c r="AE50" s="60">
        <v>376.77047297051206</v>
      </c>
    </row>
    <row r="51" spans="20:33" x14ac:dyDescent="0.3">
      <c r="T51" s="5">
        <v>3168.34</v>
      </c>
      <c r="U51" s="58">
        <v>0.51480000000000004</v>
      </c>
      <c r="V51" s="5"/>
      <c r="W51" s="5"/>
      <c r="AA51">
        <v>2016</v>
      </c>
      <c r="AB51" s="58">
        <v>718.32740000000001</v>
      </c>
      <c r="AC51">
        <v>1.0111266136165675</v>
      </c>
      <c r="AD51" s="60">
        <v>337.36470000000003</v>
      </c>
      <c r="AE51" s="60">
        <v>380.96265244538637</v>
      </c>
    </row>
    <row r="52" spans="20:33" x14ac:dyDescent="0.3">
      <c r="T52" s="5">
        <v>4137.51</v>
      </c>
      <c r="U52" s="58">
        <v>0.53500000000000003</v>
      </c>
      <c r="V52" s="5"/>
      <c r="W52" s="5"/>
      <c r="AA52">
        <v>2017</v>
      </c>
      <c r="AB52" s="58">
        <v>730.81</v>
      </c>
      <c r="AD52" s="60">
        <v>343.23160000000001</v>
      </c>
      <c r="AE52" s="60">
        <v>387.58776440086223</v>
      </c>
    </row>
    <row r="53" spans="20:33" x14ac:dyDescent="0.3">
      <c r="U53" s="5"/>
      <c r="V53" s="5"/>
      <c r="W53" s="5"/>
      <c r="AA53">
        <v>2018</v>
      </c>
      <c r="AB53" s="58">
        <v>744.85</v>
      </c>
      <c r="AD53" s="60">
        <v>349.82769999999999</v>
      </c>
      <c r="AE53" s="60">
        <v>395.02230000000003</v>
      </c>
    </row>
    <row r="54" spans="20:33" x14ac:dyDescent="0.3">
      <c r="T54" t="s">
        <v>177</v>
      </c>
      <c r="U54" s="5"/>
      <c r="V54" s="5"/>
      <c r="W54" s="5"/>
      <c r="AA54">
        <v>2019</v>
      </c>
      <c r="AB54" s="58">
        <v>753.39</v>
      </c>
      <c r="AD54" s="60">
        <v>353.83839999999998</v>
      </c>
      <c r="AE54" s="60">
        <v>399.55160000000001</v>
      </c>
    </row>
    <row r="55" spans="20:33" x14ac:dyDescent="0.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60">
        <v>357.51769999999999</v>
      </c>
      <c r="AE55" s="60">
        <v>403.70230000000004</v>
      </c>
      <c r="AF55">
        <v>357.51760000000002</v>
      </c>
      <c r="AG55">
        <v>403.70240000000001</v>
      </c>
    </row>
    <row r="56" spans="20:33" x14ac:dyDescent="0.3">
      <c r="T56" t="e">
        <f>AH5*U3/12</f>
        <v>#N/A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 x14ac:dyDescent="0.3">
      <c r="T57" t="e">
        <f>T55+T56</f>
        <v>#N/A</v>
      </c>
      <c r="U57" s="58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 x14ac:dyDescent="0.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 x14ac:dyDescent="0.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cxv2PZNElD/WiOIKtBBU4e6PpvjlgsMhs1U46klsoh/zvO/EEwA8kwpbMd7BmmH2NImV1lE2d1OsT0ZTBPfwLw==" saltValue="5Dbn+FeaXnu4OWXCj6LLkg==" spinCount="100000" sheet="1" objects="1" scenarios="1"/>
  <mergeCells count="26">
    <mergeCell ref="T29:W29"/>
    <mergeCell ref="AF46:AG46"/>
    <mergeCell ref="X7:X8"/>
    <mergeCell ref="C14:E15"/>
    <mergeCell ref="C17:E17"/>
    <mergeCell ref="I22:M22"/>
    <mergeCell ref="A20:B20"/>
    <mergeCell ref="C20:E21"/>
    <mergeCell ref="Y7:Y8"/>
    <mergeCell ref="T9:W9"/>
    <mergeCell ref="V10:V12"/>
    <mergeCell ref="A14:B14"/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8</vt:i4>
      </vt:variant>
    </vt:vector>
  </HeadingPairs>
  <TitlesOfParts>
    <vt:vector size="15" baseType="lpstr">
      <vt:lpstr>SIMUL</vt:lpstr>
      <vt:lpstr>SIMUL SSGPI</vt:lpstr>
      <vt:lpstr>BV</vt:lpstr>
      <vt:lpstr>Gegevenslijsten</vt:lpstr>
      <vt:lpstr>BBSZ</vt:lpstr>
      <vt:lpstr>Loonschalen</vt:lpstr>
      <vt:lpstr>Jaartoelagen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Devos Dieter (SSGPI)</cp:lastModifiedBy>
  <cp:lastPrinted>2024-01-08T13:21:03Z</cp:lastPrinted>
  <dcterms:created xsi:type="dcterms:W3CDTF">2022-12-22T07:53:29Z</dcterms:created>
  <dcterms:modified xsi:type="dcterms:W3CDTF">2024-09-23T12:13:03Z</dcterms:modified>
</cp:coreProperties>
</file>